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style3.xml" ContentType="application/vnd.ms-office.chartstyle+xml"/>
  <Override PartName="/xl/charts/colors3.xml" ContentType="application/vnd.ms-office.chartcolorstyle+xml"/>
  <Override PartName="/xl/charts/colors4.xml" ContentType="application/vnd.ms-office.chartcolorstyle+xml"/>
  <Override PartName="/xl/charts/style4.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0730" windowHeight="11160" activeTab="5"/>
  </bookViews>
  <sheets>
    <sheet name="Expo Arg Citricos a sem 30" sheetId="1" r:id="rId1"/>
    <sheet name="Expo Limon Mercados acum sem 30" sheetId="2" r:id="rId2"/>
    <sheet name="Tn en pallets despa" sheetId="8" r:id="rId3"/>
    <sheet name="Cargas RSA y ARG" sheetId="3" r:id="rId4"/>
    <sheet name="Comparativo expo RSA y ARG" sheetId="4" r:id="rId5"/>
    <sheet name="Resumen Semanal destinos" sheetId="9" r:id="rId6"/>
  </sheets>
  <calcPr calcId="145621"/>
</workbook>
</file>

<file path=xl/calcChain.xml><?xml version="1.0" encoding="utf-8"?>
<calcChain xmlns="http://schemas.openxmlformats.org/spreadsheetml/2006/main">
  <c r="P10" i="8" l="1"/>
  <c r="P11" i="8"/>
  <c r="C10" i="8"/>
  <c r="P9" i="8"/>
  <c r="M8" i="9" l="1"/>
  <c r="L8" i="9"/>
  <c r="C8" i="9"/>
  <c r="D7" i="9"/>
  <c r="E7" i="9" s="1"/>
  <c r="F7" i="9" s="1"/>
  <c r="G7" i="9" s="1"/>
  <c r="H7" i="9" s="1"/>
  <c r="I7" i="9" s="1"/>
  <c r="J7" i="9" s="1"/>
  <c r="K7" i="9" s="1"/>
  <c r="D6" i="9"/>
  <c r="E6" i="9" s="1"/>
  <c r="F6" i="9" s="1"/>
  <c r="G6" i="9" s="1"/>
  <c r="H6" i="9" s="1"/>
  <c r="I6" i="9" s="1"/>
  <c r="J6" i="9" s="1"/>
  <c r="K6" i="9" s="1"/>
  <c r="D5" i="9"/>
  <c r="E5" i="9" s="1"/>
  <c r="D4" i="9"/>
  <c r="D10" i="9" s="1"/>
  <c r="E11" i="9" l="1"/>
  <c r="F5" i="9"/>
  <c r="D11" i="9"/>
  <c r="E4" i="9"/>
  <c r="D8" i="9"/>
  <c r="D9" i="9" s="1"/>
  <c r="E10" i="9" l="1"/>
  <c r="E8" i="9"/>
  <c r="E9" i="9" s="1"/>
  <c r="F4" i="9"/>
  <c r="F11" i="9"/>
  <c r="G5" i="9"/>
  <c r="H5" i="9" l="1"/>
  <c r="G11" i="9"/>
  <c r="F8" i="9"/>
  <c r="F9" i="9" s="1"/>
  <c r="G4" i="9"/>
  <c r="F10" i="9"/>
  <c r="I5" i="9" l="1"/>
  <c r="H11" i="9"/>
  <c r="G8" i="9"/>
  <c r="G9" i="9" s="1"/>
  <c r="H4" i="9"/>
  <c r="G10" i="9"/>
  <c r="H10" i="9" l="1"/>
  <c r="H8" i="9"/>
  <c r="H9" i="9" s="1"/>
  <c r="I4" i="9"/>
  <c r="I11" i="9"/>
  <c r="J5" i="9"/>
  <c r="I10" i="9" l="1"/>
  <c r="I8" i="9"/>
  <c r="I9" i="9" s="1"/>
  <c r="J4" i="9"/>
  <c r="J11" i="9"/>
  <c r="K5" i="9"/>
  <c r="J8" i="9" l="1"/>
  <c r="J9" i="9" s="1"/>
  <c r="K4" i="9"/>
  <c r="K8" i="9" s="1"/>
  <c r="J10" i="9"/>
  <c r="L34" i="8"/>
  <c r="K34" i="8"/>
  <c r="J34" i="8"/>
  <c r="I34" i="8"/>
  <c r="H34" i="8"/>
  <c r="G34" i="8"/>
  <c r="F34" i="8"/>
  <c r="E34" i="8"/>
  <c r="D34" i="8"/>
  <c r="C34" i="8"/>
  <c r="P33" i="8"/>
  <c r="P32" i="8"/>
  <c r="P31" i="8"/>
  <c r="L26" i="8"/>
  <c r="K26" i="8"/>
  <c r="J26" i="8"/>
  <c r="I26" i="8"/>
  <c r="H26" i="8"/>
  <c r="G26" i="8"/>
  <c r="F26" i="8"/>
  <c r="E26" i="8"/>
  <c r="D26" i="8"/>
  <c r="C26" i="8"/>
  <c r="P25" i="8"/>
  <c r="P24" i="8"/>
  <c r="P23" i="8"/>
  <c r="P22" i="8"/>
  <c r="D10" i="8"/>
  <c r="E10" i="8"/>
  <c r="F10" i="8"/>
  <c r="G10" i="8"/>
  <c r="H10" i="8"/>
  <c r="I10" i="8"/>
  <c r="J10" i="8"/>
  <c r="K10" i="8"/>
  <c r="P6" i="8"/>
  <c r="P7" i="8"/>
  <c r="P8" i="8"/>
  <c r="P5" i="8"/>
  <c r="J24" i="3"/>
  <c r="H23" i="3"/>
  <c r="I24" i="3"/>
  <c r="H22" i="3"/>
  <c r="P34" i="8" l="1"/>
  <c r="P26" i="8"/>
  <c r="H24" i="3"/>
  <c r="P36" i="8" l="1"/>
  <c r="Q13" i="3"/>
  <c r="Q14" i="3" s="1"/>
  <c r="S13" i="3"/>
  <c r="R13" i="3"/>
  <c r="H10" i="3"/>
  <c r="H11" i="3"/>
  <c r="H12" i="3"/>
  <c r="H9" i="3"/>
  <c r="I9" i="3"/>
  <c r="E12" i="2"/>
  <c r="E18" i="2"/>
  <c r="H8" i="2"/>
  <c r="H13" i="3" l="1"/>
  <c r="E19" i="2"/>
  <c r="I8" i="2" l="1"/>
  <c r="D10" i="3" l="1"/>
  <c r="J13" i="3" l="1"/>
  <c r="R14" i="3"/>
  <c r="J12" i="3"/>
  <c r="J11" i="3"/>
  <c r="J10" i="3"/>
  <c r="J9" i="3"/>
  <c r="I10" i="3"/>
  <c r="D10" i="4" s="1"/>
  <c r="D6" i="4"/>
  <c r="I13" i="3"/>
  <c r="D14" i="4" s="1"/>
  <c r="I12" i="3"/>
  <c r="D12" i="4" s="1"/>
  <c r="I11" i="3"/>
  <c r="D8" i="4" s="1"/>
  <c r="D19" i="3"/>
  <c r="D17" i="3"/>
  <c r="D16" i="3"/>
  <c r="D15" i="3"/>
  <c r="D14" i="3"/>
  <c r="D12" i="3"/>
  <c r="D11" i="3"/>
  <c r="D9" i="3"/>
  <c r="M17" i="2"/>
  <c r="M16" i="2"/>
  <c r="M15" i="2"/>
  <c r="M14" i="2"/>
  <c r="M13" i="2"/>
  <c r="M11" i="2"/>
  <c r="M10" i="2"/>
  <c r="M9" i="2"/>
  <c r="M8" i="2"/>
  <c r="L8" i="2"/>
  <c r="L17" i="2"/>
  <c r="L16" i="2"/>
  <c r="L15" i="2"/>
  <c r="L14" i="2"/>
  <c r="L13" i="2"/>
  <c r="L11" i="2"/>
  <c r="L10" i="2"/>
  <c r="L9" i="2"/>
  <c r="K17" i="2"/>
  <c r="K16" i="2"/>
  <c r="K15" i="2"/>
  <c r="K14" i="2"/>
  <c r="K13" i="2"/>
  <c r="K11" i="2"/>
  <c r="K10" i="2"/>
  <c r="K9" i="2"/>
  <c r="K8" i="2"/>
  <c r="J17" i="2"/>
  <c r="J16" i="2"/>
  <c r="J15" i="2"/>
  <c r="J14" i="2"/>
  <c r="J13" i="2"/>
  <c r="J11" i="2"/>
  <c r="J10" i="2"/>
  <c r="J9" i="2"/>
  <c r="J8" i="2"/>
  <c r="I17" i="2"/>
  <c r="I16" i="2"/>
  <c r="I15" i="2"/>
  <c r="I14" i="2"/>
  <c r="I11" i="2"/>
  <c r="I10" i="2"/>
  <c r="I9" i="2"/>
  <c r="H17" i="2"/>
  <c r="H16" i="2"/>
  <c r="H15" i="2"/>
  <c r="H14" i="2"/>
  <c r="H13" i="2"/>
  <c r="H11" i="2"/>
  <c r="H10" i="2"/>
  <c r="H9" i="2"/>
  <c r="D18" i="2"/>
  <c r="D12" i="2"/>
  <c r="C18" i="2"/>
  <c r="C12" i="2"/>
  <c r="D13" i="3" l="1"/>
  <c r="F12" i="2" l="1"/>
  <c r="L12" i="2" s="1"/>
  <c r="G12" i="2"/>
  <c r="G18" i="2"/>
  <c r="M18" i="2" s="1"/>
  <c r="M12" i="2" l="1"/>
  <c r="J12" i="2"/>
  <c r="G19" i="2"/>
  <c r="C19" i="2"/>
  <c r="I13" i="2"/>
  <c r="I12" i="2" s="1"/>
  <c r="D20" i="3" l="1"/>
  <c r="D21" i="3" s="1"/>
  <c r="G16" i="1" l="1"/>
  <c r="G14" i="1"/>
  <c r="G15" i="1"/>
  <c r="F17" i="1"/>
  <c r="E17" i="1"/>
  <c r="D17" i="1"/>
  <c r="C17" i="1"/>
  <c r="I14" i="3"/>
  <c r="S14" i="3"/>
  <c r="H14" i="3" l="1"/>
  <c r="D19" i="2"/>
  <c r="J14" i="3"/>
  <c r="D13" i="4" l="1"/>
  <c r="D11" i="4"/>
  <c r="F11" i="4" l="1"/>
  <c r="F13" i="4"/>
  <c r="E13" i="4"/>
  <c r="E11" i="4"/>
  <c r="F18" i="2"/>
  <c r="H18" i="2"/>
  <c r="L18" i="2" l="1"/>
  <c r="I18" i="2"/>
  <c r="J18" i="2"/>
  <c r="K18" i="2"/>
  <c r="D9" i="4"/>
  <c r="F9" i="4" s="1"/>
  <c r="F19" i="2"/>
  <c r="D5" i="4"/>
  <c r="K12" i="2" l="1"/>
  <c r="H12" i="2"/>
  <c r="H19" i="2"/>
  <c r="M19" i="2"/>
  <c r="J19" i="2"/>
  <c r="I19" i="2"/>
  <c r="L19" i="2"/>
  <c r="E9" i="4"/>
  <c r="E5" i="4"/>
  <c r="F5" i="4"/>
  <c r="D7" i="4"/>
  <c r="F7" i="4" s="1"/>
  <c r="K19" i="2" l="1"/>
  <c r="E7" i="4"/>
  <c r="G11" i="1" l="1"/>
  <c r="G12" i="1"/>
  <c r="G13" i="1"/>
  <c r="G10" i="1"/>
  <c r="G17" i="1" l="1"/>
  <c r="E18" i="1" l="1"/>
  <c r="D18" i="1"/>
  <c r="F18" i="1"/>
  <c r="C18" i="1"/>
  <c r="G18" i="1" l="1"/>
</calcChain>
</file>

<file path=xl/sharedStrings.xml><?xml version="1.0" encoding="utf-8"?>
<sst xmlns="http://schemas.openxmlformats.org/spreadsheetml/2006/main" count="197" uniqueCount="115">
  <si>
    <t>Cargado Real</t>
  </si>
  <si>
    <t>Meses de Carga</t>
  </si>
  <si>
    <t>Limon</t>
  </si>
  <si>
    <t>Pomelo</t>
  </si>
  <si>
    <t>Naranja</t>
  </si>
  <si>
    <t>Mandarina</t>
  </si>
  <si>
    <t>Total</t>
  </si>
  <si>
    <t>Enero</t>
  </si>
  <si>
    <t>Febrero</t>
  </si>
  <si>
    <t>Marzo</t>
  </si>
  <si>
    <t>Abril</t>
  </si>
  <si>
    <t>Mayo</t>
  </si>
  <si>
    <t>% Sobre el total</t>
  </si>
  <si>
    <t>Destinos</t>
  </si>
  <si>
    <t>Grecia y Balcanes</t>
  </si>
  <si>
    <t>Iberica</t>
  </si>
  <si>
    <t>Italia</t>
  </si>
  <si>
    <t>Norte Europa</t>
  </si>
  <si>
    <t>Sub Total UE</t>
  </si>
  <si>
    <t>Rusia</t>
  </si>
  <si>
    <t>Odessa-Ucrania</t>
  </si>
  <si>
    <t>USA</t>
  </si>
  <si>
    <t>Otros Destinos</t>
  </si>
  <si>
    <t>Reino Unido</t>
  </si>
  <si>
    <t>(en toneladas)</t>
  </si>
  <si>
    <t>Variación % Año 2021 vs:</t>
  </si>
  <si>
    <t xml:space="preserve">Sub Total </t>
  </si>
  <si>
    <t>Aclaraciones:</t>
  </si>
  <si>
    <t>Cajas 15 kilos</t>
  </si>
  <si>
    <t>Reino unido</t>
  </si>
  <si>
    <t>Union Europea</t>
  </si>
  <si>
    <t>Otros</t>
  </si>
  <si>
    <t>Argentina</t>
  </si>
  <si>
    <t>RSA</t>
  </si>
  <si>
    <t>Tn</t>
  </si>
  <si>
    <t>Sub Total</t>
  </si>
  <si>
    <t>Canadá</t>
  </si>
  <si>
    <t xml:space="preserve">Otros Destinos </t>
  </si>
  <si>
    <t xml:space="preserve">Aclaraciones: </t>
  </si>
  <si>
    <t>Otros Destinos:  incluye  Middle East, Far East, America Sur</t>
  </si>
  <si>
    <t>Variación en TN Año 2021 vs:</t>
  </si>
  <si>
    <t>% Arg vs RSA</t>
  </si>
  <si>
    <t>TN Arg vs RSA</t>
  </si>
  <si>
    <t xml:space="preserve">Junio </t>
  </si>
  <si>
    <t>Total Cargado (TN)</t>
  </si>
  <si>
    <t>Total Exportado Anual</t>
  </si>
  <si>
    <t>Otros Destinos Argentina:  incluye  Middle East, Far East, America Sur</t>
  </si>
  <si>
    <t xml:space="preserve"> Otros Destinos RSA incluye: South East Asia, Middle East, Africa and Islands, Asia</t>
  </si>
  <si>
    <t>*Información del SENASA ( mercadería certificada)</t>
  </si>
  <si>
    <t>UE</t>
  </si>
  <si>
    <t>Año 2021</t>
  </si>
  <si>
    <t>Año 2022</t>
  </si>
  <si>
    <t>Año 2020</t>
  </si>
  <si>
    <t>2021 - Acum sem 29</t>
  </si>
  <si>
    <t>Exportaciones de ARGENTINA Y RSA a ----- U.E - UK - RUSIA - USA - Otros… W 29</t>
  </si>
  <si>
    <t>Exportacion Argentina de Citricos a sem 30</t>
  </si>
  <si>
    <t>Julio 30/07</t>
  </si>
  <si>
    <t>Total Acum Sem 30</t>
  </si>
  <si>
    <t>Total Expo Limon (w 30)</t>
  </si>
  <si>
    <t>30 de Julio</t>
  </si>
  <si>
    <t>Acumulado a semana 30</t>
  </si>
  <si>
    <t>2021 - Acum sem 30</t>
  </si>
  <si>
    <t>Total Cargado Limones Argentina sem 30</t>
  </si>
  <si>
    <t>Cargas Argentina       Acumulado                            sem 30</t>
  </si>
  <si>
    <t>Semana 29</t>
  </si>
  <si>
    <t>Semana 28</t>
  </si>
  <si>
    <t>Cargas de RSA Acumulado Sem 29</t>
  </si>
  <si>
    <t>Total Cargado Limones SUDAFRICA sem 29</t>
  </si>
  <si>
    <t>Norte America</t>
  </si>
  <si>
    <t>Europa</t>
  </si>
  <si>
    <t>Total Cargado Limones CHILE sem 29</t>
  </si>
  <si>
    <t>Cargas de CHILE Acumulado Sem 29</t>
  </si>
  <si>
    <t>Provincia</t>
  </si>
  <si>
    <t>Buenos Aires</t>
  </si>
  <si>
    <t>Corrientes</t>
  </si>
  <si>
    <t>Jujuy</t>
  </si>
  <si>
    <t>Salta</t>
  </si>
  <si>
    <t>Tucuman</t>
  </si>
  <si>
    <t>Tn a UE</t>
  </si>
  <si>
    <t>Tn a CHL</t>
  </si>
  <si>
    <t>Tn a BRA</t>
  </si>
  <si>
    <t>Tn a CHN</t>
  </si>
  <si>
    <t>Tn a COL</t>
  </si>
  <si>
    <t>Tn a KOR</t>
  </si>
  <si>
    <t>Tn a MEX</t>
  </si>
  <si>
    <t>Tn a PHL</t>
  </si>
  <si>
    <t>Tn a USA</t>
  </si>
  <si>
    <t>Tn A OD</t>
  </si>
  <si>
    <t>TOTAL</t>
  </si>
  <si>
    <t>Toneladas en Pallets Despachadas NARANJA</t>
  </si>
  <si>
    <t>Entre Rios</t>
  </si>
  <si>
    <t>TOTAL NARANJA</t>
  </si>
  <si>
    <t>Toneladas en Pallets Despachadas MANDARINA</t>
  </si>
  <si>
    <t>TOTAL MANDARINA</t>
  </si>
  <si>
    <t>Misiones</t>
  </si>
  <si>
    <t xml:space="preserve">TOTAL GENERAL TN DESPACHADAS, LIMON, NARANJA Y MANDARINA </t>
  </si>
  <si>
    <t>Toneladas en Pallets Despachadas LIMON acumulado al 01-08-2021</t>
  </si>
  <si>
    <t>DESTINO / W</t>
  </si>
  <si>
    <t>ARG</t>
  </si>
  <si>
    <t>RUSIA</t>
  </si>
  <si>
    <t>OTROS DESTINOS</t>
  </si>
  <si>
    <t>DIF TOTAL</t>
  </si>
  <si>
    <t>DIF USA</t>
  </si>
  <si>
    <t>DIF UE</t>
  </si>
  <si>
    <t>Total Limon "certificado"</t>
  </si>
  <si>
    <r>
      <t xml:space="preserve">Destino Exportac.Argentina </t>
    </r>
    <r>
      <rPr>
        <b/>
        <u/>
        <sz val="16"/>
        <rFont val="Century Gothic"/>
        <family val="2"/>
      </rPr>
      <t>Limones</t>
    </r>
    <r>
      <rPr>
        <b/>
        <sz val="16"/>
        <rFont val="Century Gothic"/>
        <family val="2"/>
      </rPr>
      <t xml:space="preserve"> a:</t>
    </r>
  </si>
  <si>
    <t>*Otros Destinos:  incluye Canada, Middle East, Far East, America Sur</t>
  </si>
  <si>
    <t>*Otros Destinos</t>
  </si>
  <si>
    <t>Tn a Rusia</t>
  </si>
  <si>
    <t>TOTAL LIMON TN Pallets DESPACHADOS</t>
  </si>
  <si>
    <t>* Solo figuran mercados con restricciones.</t>
  </si>
  <si>
    <t>Tn U.K</t>
  </si>
  <si>
    <t>Nota: Los valores que figura en rojo son datos obtenidos de la base del SENASA "fruta certificada", ya que al ser paises que no tienen Protocolo con restricciones no figuran en el SITC - Fruta despachada.</t>
  </si>
  <si>
    <t xml:space="preserve">*Otros Destinos:  incluye Canada, Middle East, Far East, America Sur (se descontó del total de O.D: China, PHL, Mex, Bras) </t>
  </si>
  <si>
    <t>Fuente: Sistema Informatico de Trazabilidad Citricola (SITC)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</si>
</sst>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_-;\-* #,##0.00_-;_-* &quot;-&quot;??_-;_-@_-"/>
    <numFmt numFmtId="165" formatCode="&quot;Sem&quot;0"/>
    <numFmt numFmtId="166" formatCode="_-* #,##0_-;\-* #,##0_-;_-* &quot;-&quot;??_-;_-@_-"/>
  </numFmts>
  <fonts count="49" x14ac:knownFonts="1">
    <font>
      <sz val="11"/>
      <color theme="1"/>
      <name val="Calibri"/>
      <family val="2"/>
      <scheme val="minor"/>
    </font>
    <font>
      <b/>
      <sz val="11"/>
      <color theme="1"/>
      <name val="Calibri Light"/>
      <family val="2"/>
    </font>
    <font>
      <sz val="11"/>
      <color theme="1"/>
      <name val="Calibri"/>
      <family val="2"/>
      <scheme val="minor"/>
    </font>
    <font>
      <b/>
      <sz val="14"/>
      <name val="Century Gothic"/>
      <family val="2"/>
    </font>
    <font>
      <sz val="14"/>
      <color theme="1"/>
      <name val="Calibri"/>
      <family val="2"/>
      <scheme val="minor"/>
    </font>
    <font>
      <b/>
      <sz val="14"/>
      <color theme="1"/>
      <name val="Calibri"/>
      <family val="2"/>
      <scheme val="minor"/>
    </font>
    <font>
      <b/>
      <sz val="14"/>
      <color theme="1"/>
      <name val="Calibri Light"/>
      <family val="2"/>
    </font>
    <font>
      <sz val="14"/>
      <color theme="1"/>
      <name val="Calibri Light"/>
      <family val="2"/>
    </font>
    <font>
      <sz val="14"/>
      <name val="Century Gothic"/>
      <family val="2"/>
    </font>
    <font>
      <b/>
      <i/>
      <sz val="14"/>
      <name val="Century Gothic"/>
      <family val="2"/>
    </font>
    <font>
      <sz val="14"/>
      <color theme="0"/>
      <name val="Century Gothic"/>
      <family val="2"/>
    </font>
    <font>
      <b/>
      <sz val="14"/>
      <color indexed="9"/>
      <name val="Century Gothic"/>
      <family val="2"/>
    </font>
    <font>
      <sz val="14"/>
      <name val="Calibri Light"/>
      <family val="2"/>
    </font>
    <font>
      <b/>
      <sz val="14"/>
      <name val="Calibri Light"/>
      <family val="2"/>
    </font>
    <font>
      <b/>
      <sz val="11"/>
      <color theme="1"/>
      <name val="Calibri"/>
      <family val="2"/>
      <scheme val="minor"/>
    </font>
    <font>
      <b/>
      <u/>
      <sz val="12"/>
      <color theme="1"/>
      <name val="Calibri"/>
      <family val="2"/>
      <scheme val="minor"/>
    </font>
    <font>
      <sz val="12"/>
      <color theme="1"/>
      <name val="Calibri"/>
      <family val="2"/>
      <scheme val="minor"/>
    </font>
    <font>
      <b/>
      <sz val="12"/>
      <color theme="1"/>
      <name val="Calibri"/>
      <family val="2"/>
      <scheme val="minor"/>
    </font>
    <font>
      <b/>
      <sz val="12"/>
      <color theme="1"/>
      <name val="Calibri Light"/>
      <family val="2"/>
    </font>
    <font>
      <sz val="12"/>
      <color theme="1"/>
      <name val="Calibri Light"/>
      <family val="2"/>
    </font>
    <font>
      <b/>
      <sz val="12"/>
      <color indexed="9"/>
      <name val="Century Gothic"/>
      <family val="2"/>
    </font>
    <font>
      <sz val="12"/>
      <color rgb="FFFF0000"/>
      <name val="Calibri"/>
      <family val="2"/>
      <scheme val="minor"/>
    </font>
    <font>
      <b/>
      <sz val="12"/>
      <name val="Calibri Light"/>
      <family val="2"/>
    </font>
    <font>
      <b/>
      <sz val="10"/>
      <color theme="1"/>
      <name val="Calibri"/>
      <family val="2"/>
      <scheme val="minor"/>
    </font>
    <font>
      <sz val="8"/>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0"/>
      <name val="Arial"/>
      <family val="2"/>
    </font>
    <font>
      <sz val="11"/>
      <color rgb="FFFF0000"/>
      <name val="Calibri"/>
      <family val="2"/>
      <scheme val="minor"/>
    </font>
    <font>
      <b/>
      <sz val="16"/>
      <name val="Century Gothic"/>
      <family val="2"/>
    </font>
    <font>
      <b/>
      <u/>
      <sz val="16"/>
      <name val="Century Gothic"/>
      <family val="2"/>
    </font>
    <font>
      <sz val="16"/>
      <color theme="1"/>
      <name val="Calibri"/>
      <family val="2"/>
      <scheme val="minor"/>
    </font>
    <font>
      <sz val="16"/>
      <name val="Century Gothic"/>
      <family val="2"/>
    </font>
    <font>
      <b/>
      <i/>
      <sz val="16"/>
      <name val="Century Gothic"/>
      <family val="2"/>
    </font>
    <font>
      <sz val="16"/>
      <color theme="0"/>
      <name val="Century Gothic"/>
      <family val="2"/>
    </font>
    <font>
      <b/>
      <sz val="16"/>
      <color indexed="9"/>
      <name val="Century Gothic"/>
      <family val="2"/>
    </font>
    <font>
      <b/>
      <sz val="16"/>
      <color theme="1"/>
      <name val="Calibri Light"/>
      <family val="2"/>
    </font>
    <font>
      <sz val="16"/>
      <color theme="1"/>
      <name val="Calibri Light"/>
      <family val="2"/>
    </font>
    <font>
      <sz val="16"/>
      <color rgb="FFFF0000"/>
      <name val="Calibri Light"/>
      <family val="2"/>
    </font>
    <font>
      <sz val="16"/>
      <color rgb="FFFF0000"/>
      <name val="Calibri"/>
      <family val="2"/>
      <scheme val="minor"/>
    </font>
    <font>
      <b/>
      <sz val="16"/>
      <color rgb="FFFF0000"/>
      <name val="Calibri Light"/>
      <family val="2"/>
    </font>
    <font>
      <sz val="16"/>
      <name val="Calibri Light"/>
      <family val="2"/>
    </font>
    <font>
      <sz val="16"/>
      <name val="Calibri"/>
      <family val="2"/>
      <scheme val="minor"/>
    </font>
    <font>
      <b/>
      <sz val="16"/>
      <name val="Calibri Light"/>
      <family val="2"/>
    </font>
    <font>
      <b/>
      <sz val="16"/>
      <color rgb="FFFF0000"/>
      <name val="Calibri"/>
      <family val="2"/>
      <scheme val="minor"/>
    </font>
    <font>
      <b/>
      <sz val="16"/>
      <color theme="0"/>
      <name val="Calibri Light"/>
      <family val="2"/>
    </font>
    <font>
      <b/>
      <sz val="16"/>
      <color rgb="FF00B050"/>
      <name val="Calibri"/>
      <family val="2"/>
      <scheme val="minor"/>
    </font>
    <font>
      <b/>
      <sz val="11"/>
      <color rgb="FFFF0000"/>
      <name val="Calibri"/>
      <family val="2"/>
      <scheme val="minor"/>
    </font>
  </fonts>
  <fills count="23">
    <fill>
      <patternFill patternType="none"/>
    </fill>
    <fill>
      <patternFill patternType="gray125"/>
    </fill>
    <fill>
      <patternFill patternType="solid">
        <fgColor rgb="FF333300"/>
        <bgColor indexed="64"/>
      </patternFill>
    </fill>
    <fill>
      <patternFill patternType="solid">
        <fgColor indexed="59"/>
        <bgColor indexed="64"/>
      </patternFill>
    </fill>
    <fill>
      <patternFill patternType="solid">
        <fgColor rgb="FFFFFFCC"/>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rgb="FFD8D8D8"/>
        <bgColor indexed="64"/>
      </patternFill>
    </fill>
    <fill>
      <patternFill patternType="solid">
        <fgColor rgb="FFF7CAAC"/>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1" tint="0.249977111117893"/>
        <bgColor indexed="64"/>
      </patternFill>
    </fill>
    <fill>
      <patternFill patternType="solid">
        <fgColor theme="4" tint="-0.499984740745262"/>
        <bgColor indexed="64"/>
      </patternFill>
    </fill>
    <fill>
      <patternFill patternType="solid">
        <fgColor rgb="FFFFFF00"/>
        <bgColor indexed="64"/>
      </patternFill>
    </fill>
  </fills>
  <borders count="108">
    <border>
      <left/>
      <right/>
      <top/>
      <bottom/>
      <diagonal/>
    </border>
    <border>
      <left style="thin">
        <color indexed="23"/>
      </left>
      <right/>
      <top style="thin">
        <color indexed="23"/>
      </top>
      <bottom/>
      <diagonal/>
    </border>
    <border>
      <left style="thin">
        <color indexed="16"/>
      </left>
      <right/>
      <top/>
      <bottom/>
      <diagonal/>
    </border>
    <border>
      <left/>
      <right style="thin">
        <color indexed="64"/>
      </right>
      <top/>
      <bottom/>
      <diagonal/>
    </border>
    <border>
      <left style="thin">
        <color indexed="64"/>
      </left>
      <right/>
      <top/>
      <bottom/>
      <diagonal/>
    </border>
    <border>
      <left style="thin">
        <color indexed="23"/>
      </left>
      <right/>
      <top/>
      <bottom/>
      <diagonal/>
    </border>
    <border>
      <left style="medium">
        <color theme="9" tint="-0.24994659260841701"/>
      </left>
      <right/>
      <top style="medium">
        <color theme="9" tint="-0.24994659260841701"/>
      </top>
      <bottom style="medium">
        <color theme="9" tint="-0.24994659260841701"/>
      </bottom>
      <diagonal/>
    </border>
    <border>
      <left style="thin">
        <color indexed="16"/>
      </left>
      <right/>
      <top style="medium">
        <color theme="9" tint="-0.24994659260841701"/>
      </top>
      <bottom style="medium">
        <color theme="9" tint="-0.24994659260841701"/>
      </bottom>
      <diagonal/>
    </border>
    <border>
      <left style="medium">
        <color indexed="23"/>
      </left>
      <right style="dashed">
        <color indexed="23"/>
      </right>
      <top style="medium">
        <color indexed="23"/>
      </top>
      <bottom style="dashed">
        <color indexed="23"/>
      </bottom>
      <diagonal/>
    </border>
    <border>
      <left style="dashed">
        <color indexed="23"/>
      </left>
      <right style="dashed">
        <color indexed="23"/>
      </right>
      <top style="medium">
        <color indexed="23"/>
      </top>
      <bottom style="dashed">
        <color indexed="23"/>
      </bottom>
      <diagonal/>
    </border>
    <border>
      <left style="dashed">
        <color indexed="23"/>
      </left>
      <right style="medium">
        <color indexed="23"/>
      </right>
      <top style="medium">
        <color indexed="23"/>
      </top>
      <bottom style="dashed">
        <color indexed="23"/>
      </bottom>
      <diagonal/>
    </border>
    <border>
      <left style="medium">
        <color indexed="23"/>
      </left>
      <right style="dashed">
        <color indexed="23"/>
      </right>
      <top style="dashed">
        <color indexed="23"/>
      </top>
      <bottom style="dashed">
        <color indexed="23"/>
      </bottom>
      <diagonal/>
    </border>
    <border>
      <left style="dashed">
        <color indexed="23"/>
      </left>
      <right style="dashed">
        <color indexed="23"/>
      </right>
      <top style="dashed">
        <color indexed="23"/>
      </top>
      <bottom style="dashed">
        <color indexed="23"/>
      </bottom>
      <diagonal/>
    </border>
    <border>
      <left style="dashed">
        <color indexed="23"/>
      </left>
      <right style="medium">
        <color indexed="23"/>
      </right>
      <top style="dashed">
        <color indexed="23"/>
      </top>
      <bottom style="dashed">
        <color indexed="23"/>
      </bottom>
      <diagonal/>
    </border>
    <border>
      <left style="medium">
        <color indexed="23"/>
      </left>
      <right style="dashed">
        <color indexed="23"/>
      </right>
      <top/>
      <bottom style="dashed">
        <color indexed="23"/>
      </bottom>
      <diagonal/>
    </border>
    <border>
      <left style="dashed">
        <color indexed="23"/>
      </left>
      <right style="dashed">
        <color indexed="23"/>
      </right>
      <top/>
      <bottom style="dashed">
        <color indexed="23"/>
      </bottom>
      <diagonal/>
    </border>
    <border>
      <left style="thin">
        <color indexed="16"/>
      </left>
      <right/>
      <top/>
      <bottom style="medium">
        <color indexed="23"/>
      </bottom>
      <diagonal/>
    </border>
    <border>
      <left/>
      <right/>
      <top/>
      <bottom style="medium">
        <color indexed="23"/>
      </bottom>
      <diagonal/>
    </border>
    <border>
      <left style="medium">
        <color indexed="23"/>
      </left>
      <right style="dashed">
        <color indexed="23"/>
      </right>
      <top style="mediumDashDot">
        <color indexed="23"/>
      </top>
      <bottom/>
      <diagonal/>
    </border>
    <border>
      <left style="dashed">
        <color indexed="23"/>
      </left>
      <right style="dashed">
        <color indexed="23"/>
      </right>
      <top style="mediumDashDot">
        <color indexed="23"/>
      </top>
      <bottom/>
      <diagonal/>
    </border>
    <border>
      <left style="dashed">
        <color indexed="23"/>
      </left>
      <right/>
      <top style="mediumDashDot">
        <color indexed="23"/>
      </top>
      <bottom/>
      <diagonal/>
    </border>
    <border>
      <left style="dashed">
        <color indexed="23"/>
      </left>
      <right/>
      <top style="dashed">
        <color indexed="23"/>
      </top>
      <bottom style="dashed">
        <color indexed="23"/>
      </bottom>
      <diagonal/>
    </border>
    <border>
      <left style="dashed">
        <color indexed="23"/>
      </left>
      <right/>
      <top/>
      <bottom style="dashed">
        <color indexed="23"/>
      </bottom>
      <diagonal/>
    </border>
    <border>
      <left style="mediumDashed">
        <color indexed="23"/>
      </left>
      <right style="dashed">
        <color indexed="23"/>
      </right>
      <top style="medium">
        <color indexed="23"/>
      </top>
      <bottom style="dashed">
        <color indexed="23"/>
      </bottom>
      <diagonal/>
    </border>
    <border>
      <left style="dashed">
        <color indexed="23"/>
      </left>
      <right style="mediumDashed">
        <color indexed="23"/>
      </right>
      <top style="medium">
        <color indexed="23"/>
      </top>
      <bottom style="dashed">
        <color indexed="23"/>
      </bottom>
      <diagonal/>
    </border>
    <border>
      <left style="mediumDashed">
        <color indexed="23"/>
      </left>
      <right style="dashed">
        <color indexed="23"/>
      </right>
      <top style="dashed">
        <color indexed="23"/>
      </top>
      <bottom style="dashed">
        <color indexed="23"/>
      </bottom>
      <diagonal/>
    </border>
    <border>
      <left style="dashed">
        <color indexed="23"/>
      </left>
      <right style="mediumDashed">
        <color indexed="23"/>
      </right>
      <top style="dashed">
        <color indexed="23"/>
      </top>
      <bottom style="dashed">
        <color indexed="23"/>
      </bottom>
      <diagonal/>
    </border>
    <border>
      <left style="dashed">
        <color indexed="23"/>
      </left>
      <right style="mediumDashed">
        <color indexed="23"/>
      </right>
      <top style="mediumDashDot">
        <color indexed="23"/>
      </top>
      <bottom/>
      <diagonal/>
    </border>
    <border>
      <left/>
      <right style="dashed">
        <color indexed="23"/>
      </right>
      <top style="medium">
        <color indexed="23"/>
      </top>
      <bottom style="dashed">
        <color indexed="23"/>
      </bottom>
      <diagonal/>
    </border>
    <border>
      <left/>
      <right style="dashed">
        <color indexed="23"/>
      </right>
      <top style="dashed">
        <color indexed="23"/>
      </top>
      <bottom style="dashed">
        <color indexed="23"/>
      </bottom>
      <diagonal/>
    </border>
    <border>
      <left/>
      <right style="dashed">
        <color indexed="23"/>
      </right>
      <top/>
      <bottom style="dashed">
        <color indexed="23"/>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thin">
        <color indexed="23"/>
      </bottom>
      <diagonal/>
    </border>
    <border>
      <left style="dotted">
        <color indexed="23"/>
      </left>
      <right style="mediumDashed">
        <color indexed="23"/>
      </right>
      <top style="mediumDashed">
        <color indexed="23"/>
      </top>
      <bottom style="mediumDashed">
        <color indexed="23"/>
      </bottom>
      <diagonal/>
    </border>
    <border>
      <left style="mediumDashed">
        <color indexed="23"/>
      </left>
      <right style="mediumDashed">
        <color indexed="23"/>
      </right>
      <top style="mediumDashed">
        <color indexed="23"/>
      </top>
      <bottom style="mediumDashed">
        <color indexed="23"/>
      </bottom>
      <diagonal/>
    </border>
    <border>
      <left style="slantDashDot">
        <color indexed="23"/>
      </left>
      <right style="dashed">
        <color indexed="23"/>
      </right>
      <top style="mediumDashDot">
        <color indexed="23"/>
      </top>
      <bottom style="slantDashDot">
        <color indexed="23"/>
      </bottom>
      <diagonal/>
    </border>
    <border>
      <left style="dashed">
        <color indexed="23"/>
      </left>
      <right style="slantDashDot">
        <color indexed="23"/>
      </right>
      <top style="mediumDashDot">
        <color indexed="23"/>
      </top>
      <bottom style="slantDashDot">
        <color indexed="23"/>
      </bottom>
      <diagonal/>
    </border>
    <border>
      <left style="thick">
        <color indexed="23"/>
      </left>
      <right style="dashed">
        <color indexed="23"/>
      </right>
      <top style="slantDashDot">
        <color indexed="23"/>
      </top>
      <bottom style="thick">
        <color indexed="23"/>
      </bottom>
      <diagonal/>
    </border>
    <border>
      <left/>
      <right style="thick">
        <color indexed="23"/>
      </right>
      <top style="slantDashDot">
        <color indexed="23"/>
      </top>
      <bottom style="thick">
        <color indexed="23"/>
      </bottom>
      <diagonal/>
    </border>
    <border>
      <left style="mediumDashed">
        <color indexed="23"/>
      </left>
      <right style="dotted">
        <color indexed="23"/>
      </right>
      <top style="dashed">
        <color indexed="23"/>
      </top>
      <bottom style="dotted">
        <color indexed="23"/>
      </bottom>
      <diagonal/>
    </border>
    <border>
      <left style="dotted">
        <color indexed="23"/>
      </left>
      <right style="dotted">
        <color indexed="23"/>
      </right>
      <top style="dashed">
        <color indexed="23"/>
      </top>
      <bottom style="dotted">
        <color indexed="23"/>
      </bottom>
      <diagonal/>
    </border>
    <border>
      <left style="dotted">
        <color indexed="23"/>
      </left>
      <right style="mediumDashed">
        <color indexed="23"/>
      </right>
      <top style="dashed">
        <color indexed="23"/>
      </top>
      <bottom style="dotted">
        <color indexed="23"/>
      </bottom>
      <diagonal/>
    </border>
    <border>
      <left style="dashed">
        <color rgb="FF808080"/>
      </left>
      <right style="medium">
        <color rgb="FFCCCCCC"/>
      </right>
      <top style="medium">
        <color rgb="FFCCCCCC"/>
      </top>
      <bottom style="dotted">
        <color rgb="FF000000"/>
      </bottom>
      <diagonal/>
    </border>
    <border>
      <left style="dashed">
        <color rgb="FF808080"/>
      </left>
      <right style="medium">
        <color rgb="FFCCCCCC"/>
      </right>
      <top/>
      <bottom style="dotted">
        <color rgb="FF000000"/>
      </bottom>
      <diagonal/>
    </border>
    <border>
      <left style="dashed">
        <color rgb="FF808080"/>
      </left>
      <right style="medium">
        <color rgb="FFCCCCCC"/>
      </right>
      <top style="medium">
        <color rgb="FFCCCCCC"/>
      </top>
      <bottom/>
      <diagonal/>
    </border>
    <border>
      <left style="medium">
        <color indexed="64"/>
      </left>
      <right/>
      <top style="medium">
        <color indexed="64"/>
      </top>
      <bottom style="medium">
        <color indexed="64"/>
      </bottom>
      <diagonal/>
    </border>
    <border>
      <left/>
      <right/>
      <top style="medium">
        <color auto="1"/>
      </top>
      <bottom style="dashed">
        <color auto="1"/>
      </bottom>
      <diagonal/>
    </border>
    <border>
      <left/>
      <right/>
      <top style="medium">
        <color auto="1"/>
      </top>
      <bottom style="dotted">
        <color auto="1"/>
      </bottom>
      <diagonal/>
    </border>
    <border>
      <left/>
      <right/>
      <top style="dashed">
        <color auto="1"/>
      </top>
      <bottom style="medium">
        <color auto="1"/>
      </bottom>
      <diagonal/>
    </border>
    <border>
      <left/>
      <right/>
      <top style="dotted">
        <color auto="1"/>
      </top>
      <bottom style="medium">
        <color auto="1"/>
      </bottom>
      <diagonal/>
    </border>
    <border>
      <left style="medium">
        <color indexed="64"/>
      </left>
      <right/>
      <top style="medium">
        <color indexed="64"/>
      </top>
      <bottom style="dashed">
        <color auto="1"/>
      </bottom>
      <diagonal/>
    </border>
    <border>
      <left style="medium">
        <color indexed="64"/>
      </left>
      <right/>
      <top style="dashed">
        <color auto="1"/>
      </top>
      <bottom style="medium">
        <color auto="1"/>
      </bottom>
      <diagonal/>
    </border>
    <border>
      <left/>
      <right style="medium">
        <color indexed="64"/>
      </right>
      <top/>
      <bottom style="medium">
        <color auto="1"/>
      </bottom>
      <diagonal/>
    </border>
    <border>
      <left/>
      <right style="medium">
        <color indexed="64"/>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23"/>
      </left>
      <right style="dashed">
        <color indexed="23"/>
      </right>
      <top style="dashed">
        <color indexed="23"/>
      </top>
      <bottom style="dotted">
        <color indexed="23"/>
      </bottom>
      <diagonal/>
    </border>
    <border>
      <left style="thin">
        <color indexed="23"/>
      </left>
      <right style="dashed">
        <color indexed="23"/>
      </right>
      <top style="mediumDashDot">
        <color indexed="23"/>
      </top>
      <bottom style="mediumDashDot">
        <color indexed="23"/>
      </bottom>
      <diagonal/>
    </border>
    <border>
      <left/>
      <right/>
      <top/>
      <bottom style="dotted">
        <color rgb="FF000000"/>
      </bottom>
      <diagonal/>
    </border>
    <border>
      <left/>
      <right/>
      <top style="medium">
        <color rgb="FFCCCCCC"/>
      </top>
      <bottom style="dotted">
        <color rgb="FF000000"/>
      </bottom>
      <diagonal/>
    </border>
    <border>
      <left/>
      <right/>
      <top style="medium">
        <color rgb="FFCCCCCC"/>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CCCCCC"/>
      </left>
      <right style="thin">
        <color indexed="64"/>
      </right>
      <top/>
      <bottom style="mediumDashed">
        <color rgb="FF808080"/>
      </bottom>
      <diagonal/>
    </border>
    <border>
      <left style="medium">
        <color rgb="FFCCCCCC"/>
      </left>
      <right style="thin">
        <color indexed="64"/>
      </right>
      <top style="medium">
        <color rgb="FFCCCCCC"/>
      </top>
      <bottom style="mediumDashed">
        <color rgb="FF80808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23"/>
      </left>
      <right style="dashed">
        <color indexed="23"/>
      </right>
      <top style="mediumDashDot">
        <color indexed="23"/>
      </top>
      <bottom style="mediumDashDot">
        <color indexed="23"/>
      </bottom>
      <diagonal/>
    </border>
    <border>
      <left style="mediumDashed">
        <color indexed="23"/>
      </left>
      <right style="dashed">
        <color indexed="23"/>
      </right>
      <top/>
      <bottom style="dashed">
        <color indexed="23"/>
      </bottom>
      <diagonal/>
    </border>
    <border>
      <left style="dashed">
        <color indexed="23"/>
      </left>
      <right style="mediumDashed">
        <color indexed="23"/>
      </right>
      <top/>
      <bottom style="dashed">
        <color indexed="23"/>
      </bottom>
      <diagonal/>
    </border>
    <border>
      <left style="mediumDashed">
        <color indexed="23"/>
      </left>
      <right style="dotted">
        <color indexed="23"/>
      </right>
      <top/>
      <bottom style="dotted">
        <color indexed="23"/>
      </bottom>
      <diagonal/>
    </border>
    <border>
      <left style="dotted">
        <color indexed="23"/>
      </left>
      <right style="dotted">
        <color indexed="23"/>
      </right>
      <top/>
      <bottom style="dotted">
        <color indexed="23"/>
      </bottom>
      <diagonal/>
    </border>
    <border>
      <left style="dotted">
        <color indexed="23"/>
      </left>
      <right style="mediumDashed">
        <color indexed="23"/>
      </right>
      <top/>
      <bottom style="dotted">
        <color indexed="23"/>
      </bottom>
      <diagonal/>
    </border>
    <border>
      <left style="dashed">
        <color indexed="23"/>
      </left>
      <right style="dashed">
        <color indexed="23"/>
      </right>
      <top style="mediumDashDot">
        <color indexed="23"/>
      </top>
      <bottom style="mediumDashDot">
        <color indexed="23"/>
      </bottom>
      <diagonal/>
    </border>
    <border>
      <left style="dashed">
        <color indexed="23"/>
      </left>
      <right/>
      <top style="mediumDashDot">
        <color indexed="23"/>
      </top>
      <bottom style="mediumDashDot">
        <color indexed="23"/>
      </bottom>
      <diagonal/>
    </border>
    <border>
      <left style="medium">
        <color rgb="FFCCCCCC"/>
      </left>
      <right style="thin">
        <color indexed="64"/>
      </right>
      <top style="medium">
        <color rgb="FFCCCCCC"/>
      </top>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8" fillId="0" borderId="0"/>
  </cellStyleXfs>
  <cellXfs count="270">
    <xf numFmtId="0" fontId="0" fillId="0" borderId="0" xfId="0"/>
    <xf numFmtId="0" fontId="3" fillId="0" borderId="0" xfId="0" applyFont="1"/>
    <xf numFmtId="0" fontId="0" fillId="0" borderId="0" xfId="0" applyBorder="1"/>
    <xf numFmtId="0" fontId="1" fillId="6" borderId="0" xfId="0" applyFont="1" applyFill="1" applyBorder="1" applyAlignment="1">
      <alignment horizontal="center" vertical="center"/>
    </xf>
    <xf numFmtId="9" fontId="0" fillId="0" borderId="0" xfId="1" applyFont="1" applyBorder="1"/>
    <xf numFmtId="0" fontId="4" fillId="0" borderId="0" xfId="0" applyFont="1"/>
    <xf numFmtId="0" fontId="6" fillId="4" borderId="9" xfId="0" applyFont="1" applyFill="1" applyBorder="1" applyAlignment="1">
      <alignment horizontal="center" vertical="center"/>
    </xf>
    <xf numFmtId="0" fontId="6" fillId="4" borderId="8" xfId="0" applyFont="1" applyFill="1" applyBorder="1" applyAlignment="1">
      <alignment horizontal="left" vertical="center"/>
    </xf>
    <xf numFmtId="9" fontId="3" fillId="0" borderId="0" xfId="1" applyFont="1" applyAlignment="1">
      <alignment horizontal="right"/>
    </xf>
    <xf numFmtId="165" fontId="3" fillId="0" borderId="0" xfId="0" applyNumberFormat="1" applyFont="1" applyAlignment="1">
      <alignment horizontal="left"/>
    </xf>
    <xf numFmtId="14" fontId="3" fillId="0" borderId="0" xfId="1" applyNumberFormat="1" applyFont="1"/>
    <xf numFmtId="9" fontId="3" fillId="0" borderId="0" xfId="1" applyFont="1"/>
    <xf numFmtId="0" fontId="8" fillId="0" borderId="0" xfId="0" applyFont="1"/>
    <xf numFmtId="9" fontId="9" fillId="0" borderId="0" xfId="1" applyFont="1" applyAlignment="1">
      <alignment horizontal="right"/>
    </xf>
    <xf numFmtId="0" fontId="10" fillId="0" borderId="1" xfId="0" applyFont="1" applyBorder="1" applyAlignment="1">
      <alignment vertical="center"/>
    </xf>
    <xf numFmtId="0" fontId="10" fillId="0" borderId="5" xfId="0" applyFont="1" applyBorder="1" applyAlignment="1">
      <alignment vertical="center"/>
    </xf>
    <xf numFmtId="0" fontId="7" fillId="0" borderId="11" xfId="0" applyFont="1" applyBorder="1" applyAlignment="1">
      <alignment horizontal="left" vertical="center"/>
    </xf>
    <xf numFmtId="0" fontId="7" fillId="4" borderId="11" xfId="0" applyFont="1" applyFill="1" applyBorder="1" applyAlignment="1">
      <alignment horizontal="left" vertical="center"/>
    </xf>
    <xf numFmtId="4" fontId="7" fillId="4" borderId="12" xfId="0" applyNumberFormat="1" applyFont="1" applyFill="1" applyBorder="1" applyAlignment="1">
      <alignment horizontal="center" vertical="center"/>
    </xf>
    <xf numFmtId="0" fontId="5" fillId="0" borderId="0" xfId="0" applyFont="1" applyAlignment="1">
      <alignment horizontal="center" vertical="center"/>
    </xf>
    <xf numFmtId="10" fontId="7" fillId="0" borderId="12" xfId="0" applyNumberFormat="1" applyFont="1" applyBorder="1" applyAlignment="1">
      <alignment horizontal="center" vertical="center"/>
    </xf>
    <xf numFmtId="0" fontId="15" fillId="0" borderId="0" xfId="0" applyFont="1"/>
    <xf numFmtId="0" fontId="14" fillId="0" borderId="0" xfId="0" applyFont="1"/>
    <xf numFmtId="0" fontId="16" fillId="0" borderId="0" xfId="0" applyFont="1"/>
    <xf numFmtId="0" fontId="18" fillId="4" borderId="28" xfId="0" applyFont="1" applyFill="1" applyBorder="1" applyAlignment="1">
      <alignment horizontal="left" vertical="center"/>
    </xf>
    <xf numFmtId="0" fontId="18" fillId="4" borderId="9" xfId="0" applyFont="1" applyFill="1" applyBorder="1" applyAlignment="1">
      <alignment horizontal="center" vertical="center"/>
    </xf>
    <xf numFmtId="0" fontId="19" fillId="0" borderId="29" xfId="0" applyFont="1" applyBorder="1" applyAlignment="1">
      <alignment horizontal="left" vertical="center"/>
    </xf>
    <xf numFmtId="4" fontId="19" fillId="0" borderId="12" xfId="0" applyNumberFormat="1" applyFont="1" applyBorder="1" applyAlignment="1">
      <alignment horizontal="center" vertical="center"/>
    </xf>
    <xf numFmtId="0" fontId="19" fillId="0" borderId="30" xfId="0" applyFont="1" applyBorder="1" applyAlignment="1">
      <alignment horizontal="left" vertical="center"/>
    </xf>
    <xf numFmtId="4" fontId="19" fillId="0" borderId="15" xfId="0" applyNumberFormat="1" applyFont="1" applyBorder="1" applyAlignment="1">
      <alignment horizontal="center" vertical="center"/>
    </xf>
    <xf numFmtId="4" fontId="16" fillId="0" borderId="0" xfId="0" applyNumberFormat="1" applyFont="1"/>
    <xf numFmtId="4" fontId="18" fillId="4" borderId="36" xfId="0" applyNumberFormat="1" applyFont="1" applyFill="1" applyBorder="1" applyAlignment="1">
      <alignment horizontal="center" vertical="center"/>
    </xf>
    <xf numFmtId="4" fontId="18" fillId="4" borderId="37" xfId="0" applyNumberFormat="1" applyFont="1" applyFill="1" applyBorder="1" applyAlignment="1">
      <alignment horizontal="center" vertical="center"/>
    </xf>
    <xf numFmtId="0" fontId="18" fillId="7" borderId="38" xfId="0" applyFont="1" applyFill="1" applyBorder="1" applyAlignment="1">
      <alignment horizontal="left" vertical="center"/>
    </xf>
    <xf numFmtId="0" fontId="18" fillId="0" borderId="0" xfId="0" applyFont="1" applyBorder="1" applyAlignment="1">
      <alignment horizontal="right"/>
    </xf>
    <xf numFmtId="4" fontId="18" fillId="0" borderId="0" xfId="0" applyNumberFormat="1" applyFont="1" applyBorder="1" applyAlignment="1">
      <alignment horizontal="center" vertical="center"/>
    </xf>
    <xf numFmtId="0" fontId="17" fillId="0" borderId="46" xfId="0" applyFont="1" applyBorder="1" applyAlignment="1">
      <alignment wrapText="1"/>
    </xf>
    <xf numFmtId="0" fontId="16" fillId="5" borderId="47" xfId="0" applyFont="1" applyFill="1" applyBorder="1"/>
    <xf numFmtId="4" fontId="17" fillId="5" borderId="48" xfId="0" applyNumberFormat="1" applyFont="1" applyFill="1" applyBorder="1"/>
    <xf numFmtId="0" fontId="16" fillId="6" borderId="49" xfId="0" applyFont="1" applyFill="1" applyBorder="1"/>
    <xf numFmtId="4" fontId="17" fillId="0" borderId="50" xfId="0" applyNumberFormat="1" applyFont="1" applyFill="1" applyBorder="1"/>
    <xf numFmtId="0" fontId="16" fillId="0" borderId="46" xfId="0" applyFont="1" applyBorder="1"/>
    <xf numFmtId="0" fontId="16" fillId="0" borderId="55" xfId="0" applyFont="1" applyBorder="1"/>
    <xf numFmtId="0" fontId="17" fillId="0" borderId="55" xfId="0" applyFont="1" applyBorder="1"/>
    <xf numFmtId="0" fontId="17" fillId="0" borderId="56" xfId="0" applyFont="1" applyBorder="1"/>
    <xf numFmtId="0" fontId="0" fillId="0" borderId="0" xfId="0" applyBorder="1" applyAlignment="1">
      <alignment wrapText="1"/>
    </xf>
    <xf numFmtId="4" fontId="7" fillId="0" borderId="12" xfId="0" applyNumberFormat="1" applyFont="1" applyBorder="1" applyAlignment="1">
      <alignment horizontal="center" vertical="center"/>
    </xf>
    <xf numFmtId="4" fontId="13" fillId="12" borderId="7" xfId="0" applyNumberFormat="1" applyFont="1" applyFill="1" applyBorder="1" applyAlignment="1">
      <alignment horizontal="center" vertical="center"/>
    </xf>
    <xf numFmtId="0" fontId="6" fillId="14" borderId="10" xfId="0" applyFont="1" applyFill="1" applyBorder="1" applyAlignment="1">
      <alignment horizontal="center" vertical="center"/>
    </xf>
    <xf numFmtId="4" fontId="12" fillId="14" borderId="13" xfId="0" applyNumberFormat="1" applyFont="1" applyFill="1" applyBorder="1" applyAlignment="1">
      <alignment horizontal="center" vertical="center" wrapText="1"/>
    </xf>
    <xf numFmtId="4" fontId="7" fillId="14" borderId="12" xfId="0" applyNumberFormat="1" applyFont="1" applyFill="1" applyBorder="1" applyAlignment="1">
      <alignment horizontal="center" vertical="center"/>
    </xf>
    <xf numFmtId="10" fontId="12" fillId="14" borderId="13" xfId="0" applyNumberFormat="1" applyFont="1" applyFill="1" applyBorder="1" applyAlignment="1">
      <alignment horizontal="center" vertical="center" wrapText="1"/>
    </xf>
    <xf numFmtId="4" fontId="13" fillId="13" borderId="7" xfId="0" applyNumberFormat="1" applyFont="1" applyFill="1" applyBorder="1" applyAlignment="1">
      <alignment horizontal="center" vertical="center"/>
    </xf>
    <xf numFmtId="4" fontId="0" fillId="0" borderId="0" xfId="0" applyNumberFormat="1"/>
    <xf numFmtId="0" fontId="18" fillId="4" borderId="62" xfId="0" applyFont="1" applyFill="1" applyBorder="1" applyAlignment="1">
      <alignment horizontal="right"/>
    </xf>
    <xf numFmtId="0" fontId="16" fillId="0" borderId="63" xfId="0" applyFont="1" applyBorder="1" applyAlignment="1">
      <alignment wrapText="1"/>
    </xf>
    <xf numFmtId="0" fontId="16" fillId="0" borderId="64" xfId="0" applyFont="1" applyBorder="1" applyAlignment="1">
      <alignment wrapText="1"/>
    </xf>
    <xf numFmtId="0" fontId="16" fillId="0" borderId="65" xfId="0" applyFont="1" applyBorder="1" applyAlignment="1">
      <alignment wrapText="1"/>
    </xf>
    <xf numFmtId="0" fontId="17" fillId="4" borderId="71" xfId="0" applyFont="1" applyFill="1" applyBorder="1" applyAlignment="1">
      <alignment vertical="center" wrapText="1"/>
    </xf>
    <xf numFmtId="0" fontId="17" fillId="4" borderId="71" xfId="0" applyFont="1" applyFill="1" applyBorder="1" applyAlignment="1">
      <alignment horizontal="center" vertical="center" wrapText="1"/>
    </xf>
    <xf numFmtId="0" fontId="17" fillId="10" borderId="71" xfId="0" applyFont="1" applyFill="1" applyBorder="1" applyAlignment="1">
      <alignment horizontal="center" vertical="center" wrapText="1"/>
    </xf>
    <xf numFmtId="4" fontId="18" fillId="5" borderId="12" xfId="0" applyNumberFormat="1" applyFont="1" applyFill="1" applyBorder="1" applyAlignment="1">
      <alignment horizontal="center" vertical="center"/>
    </xf>
    <xf numFmtId="0" fontId="22" fillId="12" borderId="6" xfId="0" applyFont="1" applyFill="1" applyBorder="1" applyAlignment="1">
      <alignment horizontal="left" vertical="center"/>
    </xf>
    <xf numFmtId="0" fontId="0" fillId="0" borderId="0" xfId="0" applyBorder="1" applyAlignment="1">
      <alignment wrapText="1"/>
    </xf>
    <xf numFmtId="0" fontId="23" fillId="4" borderId="71" xfId="0" applyFont="1" applyFill="1" applyBorder="1" applyAlignment="1">
      <alignment horizontal="center" vertical="center" wrapText="1"/>
    </xf>
    <xf numFmtId="0" fontId="14" fillId="4" borderId="71" xfId="0" applyFont="1" applyFill="1" applyBorder="1" applyAlignment="1">
      <alignment horizontal="center" vertical="center" wrapText="1"/>
    </xf>
    <xf numFmtId="4" fontId="16" fillId="6" borderId="44" xfId="0" applyNumberFormat="1" applyFont="1" applyFill="1" applyBorder="1" applyAlignment="1">
      <alignment horizontal="center" vertical="center" wrapText="1"/>
    </xf>
    <xf numFmtId="4" fontId="16" fillId="6" borderId="43" xfId="0" applyNumberFormat="1" applyFont="1" applyFill="1" applyBorder="1" applyAlignment="1">
      <alignment horizontal="center" vertical="center" wrapText="1"/>
    </xf>
    <xf numFmtId="4" fontId="16" fillId="6" borderId="45" xfId="0" applyNumberFormat="1" applyFont="1" applyFill="1" applyBorder="1" applyAlignment="1">
      <alignment horizontal="center" vertical="center" wrapText="1"/>
    </xf>
    <xf numFmtId="4" fontId="0" fillId="0" borderId="69" xfId="0" applyNumberFormat="1" applyFont="1" applyBorder="1" applyAlignment="1">
      <alignment horizontal="center" vertical="center" wrapText="1"/>
    </xf>
    <xf numFmtId="4" fontId="0" fillId="0" borderId="70" xfId="0" applyNumberFormat="1" applyFont="1" applyBorder="1" applyAlignment="1">
      <alignment horizontal="center" vertical="center" wrapText="1"/>
    </xf>
    <xf numFmtId="4" fontId="0" fillId="0" borderId="86" xfId="0" applyNumberFormat="1" applyFont="1" applyBorder="1" applyAlignment="1">
      <alignment horizontal="center" vertical="center" wrapText="1"/>
    </xf>
    <xf numFmtId="4" fontId="5" fillId="7" borderId="39" xfId="0" applyNumberFormat="1" applyFont="1" applyFill="1" applyBorder="1" applyAlignment="1">
      <alignment horizontal="center" vertical="center"/>
    </xf>
    <xf numFmtId="4" fontId="17" fillId="11" borderId="71" xfId="0" applyNumberFormat="1" applyFont="1" applyFill="1" applyBorder="1" applyAlignment="1">
      <alignment horizontal="center" vertical="center" wrapText="1"/>
    </xf>
    <xf numFmtId="4" fontId="14" fillId="11" borderId="71" xfId="0" applyNumberFormat="1" applyFont="1" applyFill="1" applyBorder="1" applyAlignment="1">
      <alignment horizontal="center" vertical="center" wrapText="1"/>
    </xf>
    <xf numFmtId="0" fontId="0" fillId="0" borderId="71" xfId="0" applyBorder="1"/>
    <xf numFmtId="4" fontId="0" fillId="0" borderId="71" xfId="0" applyNumberFormat="1" applyBorder="1"/>
    <xf numFmtId="0" fontId="0" fillId="0" borderId="0" xfId="0" applyFill="1" applyBorder="1"/>
    <xf numFmtId="4" fontId="16" fillId="5" borderId="44" xfId="0" applyNumberFormat="1" applyFont="1" applyFill="1" applyBorder="1" applyAlignment="1">
      <alignment horizontal="center" vertical="center" wrapText="1"/>
    </xf>
    <xf numFmtId="4" fontId="16" fillId="5" borderId="43" xfId="0" applyNumberFormat="1" applyFont="1" applyFill="1" applyBorder="1" applyAlignment="1">
      <alignment horizontal="center" vertical="center" wrapText="1"/>
    </xf>
    <xf numFmtId="4" fontId="16" fillId="5" borderId="45" xfId="0" applyNumberFormat="1" applyFont="1" applyFill="1" applyBorder="1" applyAlignment="1">
      <alignment horizontal="center" vertical="center" wrapText="1"/>
    </xf>
    <xf numFmtId="0" fontId="17" fillId="10" borderId="91" xfId="0" applyFont="1" applyFill="1" applyBorder="1" applyAlignment="1">
      <alignment horizontal="center" vertical="center" wrapText="1"/>
    </xf>
    <xf numFmtId="0" fontId="17" fillId="10" borderId="89" xfId="0" applyFont="1" applyFill="1" applyBorder="1" applyAlignment="1">
      <alignment horizontal="center" vertical="center" wrapText="1"/>
    </xf>
    <xf numFmtId="0" fontId="0" fillId="0" borderId="0" xfId="0" applyAlignment="1"/>
    <xf numFmtId="4" fontId="0" fillId="0" borderId="71" xfId="0" applyNumberFormat="1" applyBorder="1" applyAlignment="1">
      <alignment horizontal="center" vertical="center"/>
    </xf>
    <xf numFmtId="0" fontId="14" fillId="15" borderId="71" xfId="0" applyFont="1" applyFill="1" applyBorder="1" applyAlignment="1">
      <alignment horizontal="center" vertical="center"/>
    </xf>
    <xf numFmtId="4" fontId="14" fillId="15" borderId="71" xfId="0" applyNumberFormat="1" applyFont="1" applyFill="1" applyBorder="1" applyAlignment="1">
      <alignment horizontal="center" vertical="center"/>
    </xf>
    <xf numFmtId="0" fontId="14" fillId="15" borderId="71" xfId="0" applyFont="1" applyFill="1" applyBorder="1"/>
    <xf numFmtId="4" fontId="5" fillId="15" borderId="71" xfId="0" applyNumberFormat="1" applyFont="1" applyFill="1" applyBorder="1" applyAlignment="1">
      <alignment horizontal="center" vertical="center"/>
    </xf>
    <xf numFmtId="0" fontId="14" fillId="9" borderId="71" xfId="0" applyFont="1" applyFill="1" applyBorder="1" applyAlignment="1">
      <alignment horizontal="center" vertical="center"/>
    </xf>
    <xf numFmtId="0" fontId="0" fillId="9" borderId="71" xfId="0" applyFill="1" applyBorder="1" applyAlignment="1">
      <alignment horizontal="center" vertical="center"/>
    </xf>
    <xf numFmtId="0" fontId="0" fillId="14" borderId="71" xfId="0" applyFill="1" applyBorder="1"/>
    <xf numFmtId="0" fontId="14" fillId="18" borderId="71" xfId="0" applyFont="1" applyFill="1" applyBorder="1"/>
    <xf numFmtId="4" fontId="14" fillId="18" borderId="71" xfId="0" applyNumberFormat="1" applyFont="1" applyFill="1" applyBorder="1" applyAlignment="1">
      <alignment horizontal="center" vertical="center"/>
    </xf>
    <xf numFmtId="4" fontId="5" fillId="18" borderId="71" xfId="0" applyNumberFormat="1" applyFont="1" applyFill="1" applyBorder="1" applyAlignment="1">
      <alignment horizontal="center" vertical="center"/>
    </xf>
    <xf numFmtId="0" fontId="14" fillId="18" borderId="71" xfId="0" applyFont="1" applyFill="1" applyBorder="1" applyAlignment="1">
      <alignment horizontal="center" vertical="center"/>
    </xf>
    <xf numFmtId="0" fontId="14" fillId="19" borderId="71" xfId="0" applyFont="1" applyFill="1" applyBorder="1" applyAlignment="1">
      <alignment horizontal="center" vertical="center"/>
    </xf>
    <xf numFmtId="4" fontId="14" fillId="19" borderId="71" xfId="0" applyNumberFormat="1" applyFont="1" applyFill="1" applyBorder="1" applyAlignment="1">
      <alignment horizontal="center" vertical="center"/>
    </xf>
    <xf numFmtId="0" fontId="14" fillId="19" borderId="71" xfId="0" applyFont="1" applyFill="1" applyBorder="1"/>
    <xf numFmtId="4" fontId="5" fillId="19" borderId="71" xfId="0" applyNumberFormat="1" applyFont="1" applyFill="1" applyBorder="1" applyAlignment="1">
      <alignment horizontal="center" vertical="center"/>
    </xf>
    <xf numFmtId="4" fontId="27" fillId="20" borderId="92" xfId="0" applyNumberFormat="1" applyFont="1" applyFill="1" applyBorder="1"/>
    <xf numFmtId="0" fontId="26" fillId="6" borderId="0" xfId="0" applyFont="1" applyFill="1"/>
    <xf numFmtId="0" fontId="14" fillId="17" borderId="94" xfId="0" applyFont="1" applyFill="1" applyBorder="1" applyAlignment="1">
      <alignment horizontal="center" vertical="center"/>
    </xf>
    <xf numFmtId="0" fontId="14" fillId="17" borderId="95" xfId="0" applyFont="1" applyFill="1" applyBorder="1" applyAlignment="1">
      <alignment horizontal="center" vertical="center"/>
    </xf>
    <xf numFmtId="0" fontId="14" fillId="17" borderId="96" xfId="0" applyFont="1" applyFill="1" applyBorder="1" applyAlignment="1">
      <alignment horizontal="center" vertical="center"/>
    </xf>
    <xf numFmtId="0" fontId="14" fillId="17" borderId="97" xfId="0" applyFont="1" applyFill="1" applyBorder="1" applyAlignment="1">
      <alignment horizontal="center" vertical="center"/>
    </xf>
    <xf numFmtId="0" fontId="25" fillId="21" borderId="0" xfId="0" applyFont="1" applyFill="1" applyAlignment="1">
      <alignment horizontal="center"/>
    </xf>
    <xf numFmtId="0" fontId="0" fillId="17" borderId="98" xfId="0" applyFill="1" applyBorder="1" applyAlignment="1">
      <alignment horizontal="center" vertical="center"/>
    </xf>
    <xf numFmtId="4" fontId="0" fillId="0" borderId="71" xfId="4" applyNumberFormat="1" applyFont="1" applyBorder="1"/>
    <xf numFmtId="4" fontId="0" fillId="0" borderId="88" xfId="4" applyNumberFormat="1" applyFont="1" applyBorder="1"/>
    <xf numFmtId="4" fontId="0" fillId="0" borderId="99" xfId="4" applyNumberFormat="1" applyFont="1" applyBorder="1"/>
    <xf numFmtId="0" fontId="0" fillId="17" borderId="100" xfId="0" applyFill="1" applyBorder="1" applyAlignment="1">
      <alignment horizontal="center" vertical="center"/>
    </xf>
    <xf numFmtId="4" fontId="0" fillId="0" borderId="101" xfId="4" applyNumberFormat="1" applyFont="1" applyBorder="1"/>
    <xf numFmtId="0" fontId="0" fillId="17" borderId="102" xfId="0" applyFill="1" applyBorder="1" applyAlignment="1">
      <alignment horizontal="center" vertical="center"/>
    </xf>
    <xf numFmtId="4" fontId="0" fillId="0" borderId="87" xfId="4" applyNumberFormat="1" applyFont="1" applyBorder="1"/>
    <xf numFmtId="4" fontId="0" fillId="0" borderId="103" xfId="4" applyNumberFormat="1" applyFont="1" applyBorder="1"/>
    <xf numFmtId="0" fontId="25" fillId="21" borderId="94" xfId="0" applyFont="1" applyFill="1" applyBorder="1" applyAlignment="1">
      <alignment horizontal="center" vertical="center"/>
    </xf>
    <xf numFmtId="4" fontId="25" fillId="21" borderId="104" xfId="4" applyNumberFormat="1" applyFont="1" applyFill="1" applyBorder="1"/>
    <xf numFmtId="4" fontId="25" fillId="21" borderId="96" xfId="4" applyNumberFormat="1" applyFont="1" applyFill="1" applyBorder="1"/>
    <xf numFmtId="4" fontId="25" fillId="21" borderId="97" xfId="4" applyNumberFormat="1" applyFont="1" applyFill="1" applyBorder="1"/>
    <xf numFmtId="0" fontId="0" fillId="0" borderId="98" xfId="0" applyBorder="1" applyAlignment="1">
      <alignment horizontal="center"/>
    </xf>
    <xf numFmtId="0" fontId="0" fillId="22" borderId="100" xfId="0" applyFill="1" applyBorder="1" applyAlignment="1">
      <alignment horizontal="center" vertical="center"/>
    </xf>
    <xf numFmtId="0" fontId="0" fillId="22" borderId="105" xfId="0" applyFill="1" applyBorder="1" applyAlignment="1">
      <alignment horizontal="center" vertical="center"/>
    </xf>
    <xf numFmtId="166" fontId="0" fillId="0" borderId="106" xfId="4" applyNumberFormat="1" applyFont="1" applyBorder="1"/>
    <xf numFmtId="166" fontId="0" fillId="0" borderId="107" xfId="4" applyNumberFormat="1" applyFont="1" applyBorder="1"/>
    <xf numFmtId="4" fontId="0" fillId="0" borderId="0" xfId="0" applyNumberFormat="1" applyFill="1" applyBorder="1" applyAlignment="1">
      <alignment horizontal="center" vertical="center"/>
    </xf>
    <xf numFmtId="4" fontId="0" fillId="0" borderId="71" xfId="0" applyNumberFormat="1" applyFill="1" applyBorder="1" applyAlignment="1">
      <alignment horizontal="center" vertical="center"/>
    </xf>
    <xf numFmtId="4" fontId="14" fillId="0" borderId="71" xfId="0" applyNumberFormat="1" applyFont="1" applyBorder="1"/>
    <xf numFmtId="0" fontId="25" fillId="20" borderId="93" xfId="0" applyFont="1" applyFill="1" applyBorder="1" applyAlignment="1">
      <alignment horizontal="left" vertical="center"/>
    </xf>
    <xf numFmtId="0" fontId="30" fillId="0" borderId="0" xfId="0" applyFont="1"/>
    <xf numFmtId="9" fontId="30" fillId="0" borderId="0" xfId="1" applyFont="1" applyAlignment="1">
      <alignment horizontal="right"/>
    </xf>
    <xf numFmtId="165" fontId="30" fillId="0" borderId="0" xfId="0" applyNumberFormat="1" applyFont="1" applyAlignment="1">
      <alignment horizontal="left"/>
    </xf>
    <xf numFmtId="0" fontId="32" fillId="0" borderId="0" xfId="0" applyFont="1"/>
    <xf numFmtId="0" fontId="33" fillId="0" borderId="0" xfId="0" applyFont="1"/>
    <xf numFmtId="9" fontId="34" fillId="0" borderId="0" xfId="1" applyFont="1" applyAlignment="1">
      <alignment horizontal="right"/>
    </xf>
    <xf numFmtId="0" fontId="35" fillId="0" borderId="0" xfId="0" applyFont="1" applyBorder="1" applyAlignment="1">
      <alignment vertical="center"/>
    </xf>
    <xf numFmtId="0" fontId="32" fillId="0" borderId="0" xfId="0" applyFont="1" applyBorder="1"/>
    <xf numFmtId="0" fontId="35" fillId="0" borderId="17" xfId="0" applyFont="1" applyBorder="1" applyAlignment="1">
      <alignment vertical="center"/>
    </xf>
    <xf numFmtId="0" fontId="36" fillId="6" borderId="17" xfId="0" applyFont="1" applyFill="1" applyBorder="1" applyAlignment="1">
      <alignment vertical="center" wrapText="1"/>
    </xf>
    <xf numFmtId="0" fontId="37" fillId="4" borderId="8" xfId="0" applyFont="1" applyFill="1" applyBorder="1" applyAlignment="1">
      <alignment horizontal="left" vertical="center"/>
    </xf>
    <xf numFmtId="0" fontId="37" fillId="4" borderId="15" xfId="0" applyFont="1" applyFill="1" applyBorder="1" applyAlignment="1">
      <alignment horizontal="center" vertical="center"/>
    </xf>
    <xf numFmtId="0" fontId="37" fillId="5" borderId="15" xfId="0" applyFont="1" applyFill="1" applyBorder="1" applyAlignment="1">
      <alignment horizontal="center" vertical="center"/>
    </xf>
    <xf numFmtId="0" fontId="37" fillId="4" borderId="22" xfId="0" applyFont="1" applyFill="1" applyBorder="1" applyAlignment="1">
      <alignment horizontal="center" vertical="center"/>
    </xf>
    <xf numFmtId="0" fontId="37" fillId="4" borderId="23" xfId="0" applyFont="1" applyFill="1" applyBorder="1" applyAlignment="1">
      <alignment horizontal="center" vertical="center"/>
    </xf>
    <xf numFmtId="0" fontId="37" fillId="4" borderId="9" xfId="0" applyFont="1" applyFill="1" applyBorder="1" applyAlignment="1">
      <alignment horizontal="center" vertical="center"/>
    </xf>
    <xf numFmtId="0" fontId="37" fillId="4" borderId="24" xfId="0" applyFont="1" applyFill="1" applyBorder="1" applyAlignment="1">
      <alignment horizontal="center" vertical="center"/>
    </xf>
    <xf numFmtId="0" fontId="38" fillId="0" borderId="11" xfId="0" applyFont="1" applyFill="1" applyBorder="1" applyAlignment="1">
      <alignment horizontal="left" vertical="center"/>
    </xf>
    <xf numFmtId="4" fontId="38" fillId="6" borderId="12" xfId="0" applyNumberFormat="1" applyFont="1" applyFill="1" applyBorder="1" applyAlignment="1">
      <alignment horizontal="center" vertical="center"/>
    </xf>
    <xf numFmtId="4" fontId="38" fillId="0" borderId="12" xfId="0" applyNumberFormat="1" applyFont="1" applyFill="1" applyBorder="1" applyAlignment="1">
      <alignment horizontal="center" vertical="center"/>
    </xf>
    <xf numFmtId="4" fontId="38" fillId="0" borderId="21" xfId="0" applyNumberFormat="1" applyFont="1" applyFill="1" applyBorder="1" applyAlignment="1">
      <alignment horizontal="center" vertical="center"/>
    </xf>
    <xf numFmtId="9" fontId="39" fillId="0" borderId="25" xfId="1" applyFont="1" applyFill="1" applyBorder="1" applyAlignment="1">
      <alignment horizontal="center" vertical="center"/>
    </xf>
    <xf numFmtId="9" fontId="39" fillId="0" borderId="12" xfId="1" applyFont="1" applyFill="1" applyBorder="1" applyAlignment="1">
      <alignment horizontal="center" vertical="center"/>
    </xf>
    <xf numFmtId="9" fontId="39" fillId="0" borderId="26" xfId="1" applyFont="1" applyFill="1" applyBorder="1" applyAlignment="1">
      <alignment horizontal="center" vertical="center"/>
    </xf>
    <xf numFmtId="4" fontId="40" fillId="0" borderId="40" xfId="0" applyNumberFormat="1" applyFont="1" applyBorder="1"/>
    <xf numFmtId="4" fontId="40" fillId="0" borderId="41" xfId="0" applyNumberFormat="1" applyFont="1" applyBorder="1"/>
    <xf numFmtId="4" fontId="40" fillId="0" borderId="42" xfId="0" applyNumberFormat="1" applyFont="1" applyBorder="1"/>
    <xf numFmtId="0" fontId="37" fillId="4" borderId="78" xfId="0" applyFont="1" applyFill="1" applyBorder="1" applyAlignment="1">
      <alignment horizontal="right"/>
    </xf>
    <xf numFmtId="4" fontId="37" fillId="6" borderId="84" xfId="0" applyNumberFormat="1" applyFont="1" applyFill="1" applyBorder="1" applyAlignment="1">
      <alignment horizontal="center" vertical="center"/>
    </xf>
    <xf numFmtId="4" fontId="37" fillId="15" borderId="84" xfId="0" applyNumberFormat="1" applyFont="1" applyFill="1" applyBorder="1" applyAlignment="1">
      <alignment horizontal="center" vertical="center"/>
    </xf>
    <xf numFmtId="4" fontId="37" fillId="4" borderId="84" xfId="0" applyNumberFormat="1" applyFont="1" applyFill="1" applyBorder="1" applyAlignment="1">
      <alignment horizontal="center" vertical="center"/>
    </xf>
    <xf numFmtId="4" fontId="37" fillId="4" borderId="85" xfId="0" applyNumberFormat="1" applyFont="1" applyFill="1" applyBorder="1" applyAlignment="1">
      <alignment horizontal="center" vertical="center"/>
    </xf>
    <xf numFmtId="9" fontId="41" fillId="4" borderId="85" xfId="1" applyFont="1" applyFill="1" applyBorder="1" applyAlignment="1">
      <alignment horizontal="center" vertical="center"/>
    </xf>
    <xf numFmtId="4" fontId="41" fillId="4" borderId="84" xfId="0" applyNumberFormat="1" applyFont="1" applyFill="1" applyBorder="1" applyAlignment="1">
      <alignment horizontal="center" vertical="center"/>
    </xf>
    <xf numFmtId="0" fontId="38" fillId="0" borderId="14" xfId="0" applyFont="1" applyBorder="1" applyAlignment="1">
      <alignment horizontal="left" vertical="center"/>
    </xf>
    <xf numFmtId="4" fontId="38" fillId="6" borderId="15" xfId="0" applyNumberFormat="1" applyFont="1" applyFill="1" applyBorder="1" applyAlignment="1">
      <alignment horizontal="center" vertical="center"/>
    </xf>
    <xf numFmtId="4" fontId="38" fillId="0" borderId="15" xfId="0" applyNumberFormat="1" applyFont="1" applyBorder="1" applyAlignment="1">
      <alignment horizontal="center" vertical="center"/>
    </xf>
    <xf numFmtId="4" fontId="38" fillId="0" borderId="22" xfId="0" applyNumberFormat="1" applyFont="1" applyBorder="1" applyAlignment="1">
      <alignment horizontal="center" vertical="center"/>
    </xf>
    <xf numFmtId="9" fontId="39" fillId="0" borderId="79" xfId="1" applyFont="1" applyFill="1" applyBorder="1" applyAlignment="1">
      <alignment horizontal="center" vertical="center"/>
    </xf>
    <xf numFmtId="9" fontId="39" fillId="0" borderId="15" xfId="1" applyFont="1" applyFill="1" applyBorder="1" applyAlignment="1">
      <alignment horizontal="center" vertical="center"/>
    </xf>
    <xf numFmtId="9" fontId="39" fillId="0" borderId="80" xfId="1" applyFont="1" applyFill="1" applyBorder="1" applyAlignment="1">
      <alignment horizontal="center" vertical="center"/>
    </xf>
    <xf numFmtId="4" fontId="40" fillId="0" borderId="81" xfId="0" applyNumberFormat="1" applyFont="1" applyBorder="1"/>
    <xf numFmtId="4" fontId="40" fillId="0" borderId="82" xfId="0" applyNumberFormat="1" applyFont="1" applyBorder="1"/>
    <xf numFmtId="4" fontId="40" fillId="0" borderId="83" xfId="0" applyNumberFormat="1" applyFont="1" applyBorder="1"/>
    <xf numFmtId="0" fontId="38" fillId="0" borderId="61" xfId="0" applyFont="1" applyFill="1" applyBorder="1" applyAlignment="1">
      <alignment horizontal="left" vertical="center"/>
    </xf>
    <xf numFmtId="4" fontId="38" fillId="0" borderId="15" xfId="0" applyNumberFormat="1" applyFont="1" applyFill="1" applyBorder="1" applyAlignment="1">
      <alignment horizontal="center" vertical="center"/>
    </xf>
    <xf numFmtId="9" fontId="38" fillId="0" borderId="25" xfId="1" applyFont="1" applyFill="1" applyBorder="1" applyAlignment="1">
      <alignment horizontal="center" vertical="center"/>
    </xf>
    <xf numFmtId="9" fontId="42" fillId="0" borderId="12" xfId="1" applyFont="1" applyFill="1" applyBorder="1" applyAlignment="1">
      <alignment horizontal="center" vertical="center"/>
    </xf>
    <xf numFmtId="4" fontId="32" fillId="0" borderId="40" xfId="0" applyNumberFormat="1" applyFont="1" applyBorder="1"/>
    <xf numFmtId="4" fontId="43" fillId="0" borderId="41" xfId="0" applyNumberFormat="1" applyFont="1" applyBorder="1"/>
    <xf numFmtId="9" fontId="42" fillId="0" borderId="25" xfId="1" applyFont="1" applyFill="1" applyBorder="1" applyAlignment="1">
      <alignment horizontal="center" vertical="center"/>
    </xf>
    <xf numFmtId="9" fontId="42" fillId="0" borderId="26" xfId="1" applyFont="1" applyFill="1" applyBorder="1" applyAlignment="1">
      <alignment horizontal="center" vertical="center"/>
    </xf>
    <xf numFmtId="4" fontId="43" fillId="0" borderId="40" xfId="0" applyNumberFormat="1" applyFont="1" applyBorder="1"/>
    <xf numFmtId="4" fontId="43" fillId="0" borderId="42" xfId="0" applyNumberFormat="1" applyFont="1" applyBorder="1"/>
    <xf numFmtId="0" fontId="37" fillId="5" borderId="18" xfId="0" applyFont="1" applyFill="1" applyBorder="1" applyAlignment="1">
      <alignment horizontal="right"/>
    </xf>
    <xf numFmtId="4" fontId="37" fillId="6" borderId="19" xfId="0" applyNumberFormat="1" applyFont="1" applyFill="1" applyBorder="1" applyAlignment="1">
      <alignment horizontal="center" vertical="center"/>
    </xf>
    <xf numFmtId="4" fontId="37" fillId="15" borderId="19" xfId="0" applyNumberFormat="1" applyFont="1" applyFill="1" applyBorder="1" applyAlignment="1">
      <alignment horizontal="center" vertical="center"/>
    </xf>
    <xf numFmtId="4" fontId="37" fillId="5" borderId="19" xfId="0" applyNumberFormat="1" applyFont="1" applyFill="1" applyBorder="1" applyAlignment="1">
      <alignment horizontal="center" vertical="center"/>
    </xf>
    <xf numFmtId="4" fontId="37" fillId="5" borderId="20" xfId="0" applyNumberFormat="1" applyFont="1" applyFill="1" applyBorder="1" applyAlignment="1">
      <alignment horizontal="center" vertical="center"/>
    </xf>
    <xf numFmtId="4" fontId="44" fillId="5" borderId="19" xfId="0" applyNumberFormat="1" applyFont="1" applyFill="1" applyBorder="1" applyAlignment="1">
      <alignment horizontal="center" vertical="center"/>
    </xf>
    <xf numFmtId="4" fontId="44" fillId="5" borderId="27" xfId="0" applyNumberFormat="1" applyFont="1" applyFill="1" applyBorder="1" applyAlignment="1">
      <alignment horizontal="center" vertical="center"/>
    </xf>
    <xf numFmtId="0" fontId="37" fillId="8" borderId="34" xfId="0" applyFont="1" applyFill="1" applyBorder="1" applyAlignment="1">
      <alignment horizontal="center" vertical="center" wrapText="1"/>
    </xf>
    <xf numFmtId="4" fontId="37" fillId="6" borderId="35" xfId="0" applyNumberFormat="1" applyFont="1" applyFill="1" applyBorder="1" applyAlignment="1">
      <alignment horizontal="center" vertical="center"/>
    </xf>
    <xf numFmtId="4" fontId="37" fillId="16" borderId="35" xfId="0" applyNumberFormat="1" applyFont="1" applyFill="1" applyBorder="1" applyAlignment="1">
      <alignment horizontal="center" vertical="center"/>
    </xf>
    <xf numFmtId="4" fontId="37" fillId="8" borderId="35" xfId="0" applyNumberFormat="1" applyFont="1" applyFill="1" applyBorder="1" applyAlignment="1">
      <alignment horizontal="center" vertical="center"/>
    </xf>
    <xf numFmtId="9" fontId="41" fillId="8" borderId="35" xfId="1" applyFont="1" applyFill="1" applyBorder="1" applyAlignment="1">
      <alignment horizontal="center" vertical="center"/>
    </xf>
    <xf numFmtId="4" fontId="45" fillId="8" borderId="35" xfId="0" applyNumberFormat="1" applyFont="1" applyFill="1" applyBorder="1" applyAlignment="1">
      <alignment horizontal="center" vertical="center" wrapText="1"/>
    </xf>
    <xf numFmtId="4" fontId="45" fillId="8" borderId="35" xfId="0" applyNumberFormat="1" applyFont="1" applyFill="1" applyBorder="1" applyAlignment="1">
      <alignment vertical="center"/>
    </xf>
    <xf numFmtId="0" fontId="46" fillId="13" borderId="0" xfId="0" applyFont="1" applyFill="1" applyBorder="1" applyAlignment="1">
      <alignment horizontal="center" vertical="center" wrapText="1"/>
    </xf>
    <xf numFmtId="4" fontId="46" fillId="0" borderId="0" xfId="0" applyNumberFormat="1" applyFont="1" applyFill="1" applyBorder="1" applyAlignment="1">
      <alignment horizontal="center" vertical="center"/>
    </xf>
    <xf numFmtId="4" fontId="44" fillId="0" borderId="0" xfId="0" applyNumberFormat="1" applyFont="1" applyFill="1" applyBorder="1" applyAlignment="1">
      <alignment horizontal="center" vertical="center"/>
    </xf>
    <xf numFmtId="4" fontId="46" fillId="13" borderId="0" xfId="0" applyNumberFormat="1" applyFont="1" applyFill="1" applyBorder="1" applyAlignment="1">
      <alignment horizontal="center" vertical="center"/>
    </xf>
    <xf numFmtId="9" fontId="41" fillId="0" borderId="0" xfId="1" applyFont="1" applyFill="1" applyBorder="1" applyAlignment="1">
      <alignment horizontal="center" vertical="center"/>
    </xf>
    <xf numFmtId="4" fontId="45" fillId="0" borderId="0" xfId="0" applyNumberFormat="1" applyFont="1" applyFill="1" applyBorder="1"/>
    <xf numFmtId="0" fontId="37" fillId="0" borderId="0" xfId="0" applyFont="1" applyBorder="1" applyAlignment="1">
      <alignment horizontal="right"/>
    </xf>
    <xf numFmtId="4" fontId="37" fillId="0" borderId="0" xfId="0" applyNumberFormat="1" applyFont="1" applyBorder="1" applyAlignment="1">
      <alignment horizontal="center" vertical="center"/>
    </xf>
    <xf numFmtId="4" fontId="38" fillId="0" borderId="0" xfId="0" applyNumberFormat="1" applyFont="1" applyFill="1" applyBorder="1" applyAlignment="1">
      <alignment horizontal="center" vertical="center"/>
    </xf>
    <xf numFmtId="4" fontId="47" fillId="0" borderId="0" xfId="0" applyNumberFormat="1" applyFont="1"/>
    <xf numFmtId="9" fontId="31" fillId="0" borderId="0" xfId="1" applyFont="1" applyAlignment="1">
      <alignment horizontal="left"/>
    </xf>
    <xf numFmtId="9" fontId="33" fillId="0" borderId="0" xfId="1" applyFont="1"/>
    <xf numFmtId="4" fontId="33" fillId="0" borderId="0" xfId="0" applyNumberFormat="1" applyFont="1"/>
    <xf numFmtId="9" fontId="32" fillId="0" borderId="0" xfId="1" applyFont="1"/>
    <xf numFmtId="4" fontId="32" fillId="0" borderId="0" xfId="0" applyNumberFormat="1" applyFont="1"/>
    <xf numFmtId="14" fontId="0" fillId="0" borderId="0" xfId="0" applyNumberFormat="1"/>
    <xf numFmtId="14" fontId="26" fillId="6" borderId="0" xfId="0" applyNumberFormat="1" applyFont="1" applyFill="1"/>
    <xf numFmtId="4" fontId="48" fillId="15" borderId="71" xfId="0" applyNumberFormat="1" applyFont="1" applyFill="1" applyBorder="1" applyAlignment="1">
      <alignment horizontal="center" vertical="center"/>
    </xf>
    <xf numFmtId="0" fontId="29" fillId="9" borderId="71" xfId="0" applyFont="1" applyFill="1" applyBorder="1" applyAlignment="1">
      <alignment horizontal="center" vertical="center"/>
    </xf>
    <xf numFmtId="0" fontId="29" fillId="0" borderId="71" xfId="0" applyFont="1" applyBorder="1"/>
    <xf numFmtId="0" fontId="29" fillId="0" borderId="0" xfId="0" applyFont="1" applyBorder="1"/>
    <xf numFmtId="4" fontId="14" fillId="0" borderId="0" xfId="0" applyNumberFormat="1" applyFont="1" applyBorder="1"/>
    <xf numFmtId="0" fontId="11" fillId="2" borderId="2"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3"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3" fillId="0" borderId="46" xfId="0" applyFont="1" applyBorder="1" applyAlignment="1">
      <alignment horizontal="center"/>
    </xf>
    <xf numFmtId="0" fontId="3" fillId="0" borderId="59" xfId="0" applyFont="1" applyBorder="1" applyAlignment="1">
      <alignment horizontal="center"/>
    </xf>
    <xf numFmtId="0" fontId="3" fillId="0" borderId="60" xfId="0" applyFont="1" applyBorder="1" applyAlignment="1">
      <alignment horizontal="center"/>
    </xf>
    <xf numFmtId="9" fontId="30" fillId="0" borderId="0" xfId="1" applyFont="1" applyAlignment="1">
      <alignment horizontal="left"/>
    </xf>
    <xf numFmtId="0" fontId="36" fillId="9" borderId="0" xfId="0" applyFont="1" applyFill="1" applyBorder="1" applyAlignment="1">
      <alignment horizontal="center" vertical="center" wrapText="1"/>
    </xf>
    <xf numFmtId="0" fontId="36" fillId="9" borderId="17" xfId="0" applyFont="1" applyFill="1" applyBorder="1" applyAlignment="1">
      <alignment horizontal="center" vertical="center" wrapText="1"/>
    </xf>
    <xf numFmtId="0" fontId="36" fillId="9" borderId="2" xfId="0" applyFont="1" applyFill="1" applyBorder="1" applyAlignment="1">
      <alignment horizontal="center" vertical="center" wrapText="1"/>
    </xf>
    <xf numFmtId="0" fontId="36" fillId="9" borderId="16" xfId="0" applyFont="1" applyFill="1" applyBorder="1" applyAlignment="1">
      <alignment horizontal="center" vertical="center" wrapText="1"/>
    </xf>
    <xf numFmtId="9" fontId="31" fillId="0" borderId="0" xfId="1" applyFont="1" applyAlignment="1">
      <alignment horizontal="left"/>
    </xf>
    <xf numFmtId="0" fontId="36" fillId="9" borderId="73" xfId="0" applyFont="1" applyFill="1" applyBorder="1" applyAlignment="1">
      <alignment horizontal="center" vertical="center" wrapText="1"/>
    </xf>
    <xf numFmtId="0" fontId="36" fillId="9" borderId="74" xfId="0" applyFont="1" applyFill="1" applyBorder="1" applyAlignment="1">
      <alignment horizontal="center" vertical="center" wrapText="1"/>
    </xf>
    <xf numFmtId="0" fontId="36" fillId="9" borderId="72" xfId="0" applyFont="1" applyFill="1" applyBorder="1" applyAlignment="1">
      <alignment horizontal="center" vertical="center" wrapText="1"/>
    </xf>
    <xf numFmtId="0" fontId="36" fillId="9" borderId="75" xfId="0" applyFont="1" applyFill="1" applyBorder="1" applyAlignment="1">
      <alignment horizontal="center" vertical="center" wrapText="1"/>
    </xf>
    <xf numFmtId="0" fontId="36" fillId="9" borderId="76" xfId="0" applyFont="1" applyFill="1" applyBorder="1" applyAlignment="1">
      <alignment horizontal="center" vertical="center" wrapText="1"/>
    </xf>
    <xf numFmtId="0" fontId="36" fillId="9" borderId="77" xfId="0" applyFont="1" applyFill="1" applyBorder="1" applyAlignment="1">
      <alignment horizontal="center" vertical="center" wrapText="1"/>
    </xf>
    <xf numFmtId="0" fontId="17" fillId="15" borderId="46" xfId="0" applyFont="1" applyFill="1" applyBorder="1" applyAlignment="1">
      <alignment horizontal="center"/>
    </xf>
    <xf numFmtId="0" fontId="17" fillId="15" borderId="93" xfId="0" applyFont="1" applyFill="1" applyBorder="1" applyAlignment="1">
      <alignment horizontal="center"/>
    </xf>
    <xf numFmtId="0" fontId="17" fillId="15" borderId="92" xfId="0" applyFont="1" applyFill="1" applyBorder="1" applyAlignment="1">
      <alignment horizontal="center"/>
    </xf>
    <xf numFmtId="0" fontId="17" fillId="18" borderId="46" xfId="0" applyFont="1" applyFill="1" applyBorder="1" applyAlignment="1">
      <alignment horizontal="center"/>
    </xf>
    <xf numFmtId="0" fontId="17" fillId="18" borderId="93" xfId="0" applyFont="1" applyFill="1" applyBorder="1" applyAlignment="1">
      <alignment horizontal="center"/>
    </xf>
    <xf numFmtId="0" fontId="17" fillId="18" borderId="92" xfId="0" applyFont="1" applyFill="1" applyBorder="1" applyAlignment="1">
      <alignment horizontal="center"/>
    </xf>
    <xf numFmtId="0" fontId="17" fillId="19" borderId="46" xfId="0" applyFont="1" applyFill="1" applyBorder="1" applyAlignment="1">
      <alignment horizontal="center"/>
    </xf>
    <xf numFmtId="0" fontId="17" fillId="19" borderId="93" xfId="0" applyFont="1" applyFill="1" applyBorder="1" applyAlignment="1">
      <alignment horizontal="center"/>
    </xf>
    <xf numFmtId="0" fontId="17" fillId="19" borderId="92" xfId="0" applyFont="1" applyFill="1" applyBorder="1" applyAlignment="1">
      <alignment horizontal="center"/>
    </xf>
    <xf numFmtId="0" fontId="25" fillId="20" borderId="46" xfId="0" applyFont="1" applyFill="1" applyBorder="1" applyAlignment="1">
      <alignment horizontal="left" vertical="center"/>
    </xf>
    <xf numFmtId="0" fontId="25" fillId="20" borderId="93" xfId="0" applyFont="1" applyFill="1" applyBorder="1" applyAlignment="1">
      <alignment horizontal="left" vertical="center"/>
    </xf>
    <xf numFmtId="0" fontId="14" fillId="0" borderId="66" xfId="0" applyFont="1" applyBorder="1" applyAlignment="1">
      <alignment horizontal="center" vertical="center" wrapText="1"/>
    </xf>
    <xf numFmtId="0" fontId="14" fillId="0" borderId="68" xfId="0" applyFont="1" applyBorder="1" applyAlignment="1">
      <alignment horizontal="center" vertical="center" wrapText="1"/>
    </xf>
    <xf numFmtId="0" fontId="17" fillId="0" borderId="66" xfId="0" applyFont="1" applyBorder="1" applyAlignment="1">
      <alignment horizontal="center" vertical="center" wrapText="1"/>
    </xf>
    <xf numFmtId="0" fontId="17" fillId="0" borderId="67" xfId="0" applyFont="1" applyBorder="1" applyAlignment="1">
      <alignment horizontal="center" vertical="center" wrapText="1"/>
    </xf>
    <xf numFmtId="0" fontId="17" fillId="0" borderId="68" xfId="0" applyFont="1" applyBorder="1" applyAlignment="1">
      <alignment horizontal="center" vertical="center" wrapText="1"/>
    </xf>
    <xf numFmtId="0" fontId="17" fillId="10" borderId="89" xfId="0" applyFont="1" applyFill="1" applyBorder="1" applyAlignment="1">
      <alignment horizontal="center" vertical="center" wrapText="1"/>
    </xf>
    <xf numFmtId="0" fontId="17" fillId="10" borderId="90" xfId="0" applyFont="1" applyFill="1" applyBorder="1" applyAlignment="1">
      <alignment horizontal="center" vertical="center" wrapText="1"/>
    </xf>
    <xf numFmtId="0" fontId="15" fillId="0" borderId="46" xfId="0" applyFont="1" applyBorder="1" applyAlignment="1">
      <alignment horizontal="center"/>
    </xf>
    <xf numFmtId="0" fontId="15" fillId="0" borderId="93" xfId="0" applyFont="1" applyBorder="1" applyAlignment="1">
      <alignment horizontal="center"/>
    </xf>
    <xf numFmtId="0" fontId="15" fillId="0" borderId="92" xfId="0" applyFont="1" applyBorder="1" applyAlignment="1">
      <alignment horizontal="center"/>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3" xfId="0" applyFont="1" applyBorder="1" applyAlignment="1">
      <alignment horizontal="center" vertical="center" wrapText="1"/>
    </xf>
    <xf numFmtId="0" fontId="15" fillId="0" borderId="59" xfId="0" applyFont="1" applyBorder="1" applyAlignment="1">
      <alignment horizontal="center"/>
    </xf>
    <xf numFmtId="0" fontId="15" fillId="0" borderId="60" xfId="0" applyFont="1" applyBorder="1" applyAlignment="1">
      <alignment horizontal="center"/>
    </xf>
    <xf numFmtId="10" fontId="21" fillId="0" borderId="57" xfId="0" applyNumberFormat="1" applyFont="1" applyBorder="1" applyAlignment="1">
      <alignment horizontal="center" vertical="center"/>
    </xf>
    <xf numFmtId="10" fontId="21" fillId="0" borderId="58" xfId="0" applyNumberFormat="1" applyFont="1" applyBorder="1" applyAlignment="1">
      <alignment horizontal="center" vertical="center"/>
    </xf>
    <xf numFmtId="0" fontId="17" fillId="0" borderId="51" xfId="0" applyFont="1" applyBorder="1" applyAlignment="1">
      <alignment horizontal="center" vertical="center"/>
    </xf>
    <xf numFmtId="0" fontId="17" fillId="0" borderId="52" xfId="0" applyFont="1" applyBorder="1" applyAlignment="1">
      <alignment horizontal="center" vertical="center"/>
    </xf>
    <xf numFmtId="4" fontId="21" fillId="0" borderId="54" xfId="0" applyNumberFormat="1" applyFont="1" applyBorder="1" applyAlignment="1">
      <alignment horizontal="center" vertical="center"/>
    </xf>
    <xf numFmtId="4" fontId="21" fillId="0" borderId="53" xfId="0" applyNumberFormat="1" applyFont="1" applyBorder="1" applyAlignment="1">
      <alignment horizontal="center" vertical="center"/>
    </xf>
  </cellXfs>
  <cellStyles count="6">
    <cellStyle name="Millares" xfId="4" builtinId="3"/>
    <cellStyle name="Millares 2" xfId="2"/>
    <cellStyle name="Millares 3" xfId="3"/>
    <cellStyle name="Normal" xfId="0" builtinId="0"/>
    <cellStyle name="Normal 2" xfId="5"/>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microsoft.com/office/2011/relationships/chartStyle" Target="style3.xml"/><Relationship Id="rId2" Type="http://schemas.microsoft.com/office/2011/relationships/chartColorStyle" Target="colors3.xml"/><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'Expo Arg Citricos a sem 30'!$C$9</c:f>
              <c:strCache>
                <c:ptCount val="1"/>
                <c:pt idx="0">
                  <c:v>Limon</c:v>
                </c:pt>
              </c:strCache>
            </c:strRef>
          </c:tx>
          <c:spPr>
            <a:solidFill>
              <a:schemeClr val="accent1"/>
            </a:solidFill>
            <a:ln>
              <a:noFill/>
            </a:ln>
            <a:effectLst/>
          </c:spPr>
          <c:invertIfNegative val="0"/>
          <c:cat>
            <c:strRef>
              <c:f>'Expo Arg Citricos a sem 30'!$B$10:$B$17</c:f>
              <c:strCache>
                <c:ptCount val="8"/>
                <c:pt idx="0">
                  <c:v>Enero</c:v>
                </c:pt>
                <c:pt idx="1">
                  <c:v>Febrero</c:v>
                </c:pt>
                <c:pt idx="2">
                  <c:v>Marzo</c:v>
                </c:pt>
                <c:pt idx="3">
                  <c:v>Abril</c:v>
                </c:pt>
                <c:pt idx="4">
                  <c:v>Mayo</c:v>
                </c:pt>
                <c:pt idx="5">
                  <c:v>Junio </c:v>
                </c:pt>
                <c:pt idx="6">
                  <c:v>Julio 30/07</c:v>
                </c:pt>
                <c:pt idx="7">
                  <c:v>Total Acum Sem 30</c:v>
                </c:pt>
              </c:strCache>
            </c:strRef>
          </c:cat>
          <c:val>
            <c:numRef>
              <c:f>'Expo Arg Citricos a sem 30'!$C$10:$C$17</c:f>
              <c:numCache>
                <c:formatCode>#,##0.00</c:formatCode>
                <c:ptCount val="8"/>
                <c:pt idx="0">
                  <c:v>34.020000000000003</c:v>
                </c:pt>
                <c:pt idx="1">
                  <c:v>20.004000000000001</c:v>
                </c:pt>
                <c:pt idx="2">
                  <c:v>1737.15</c:v>
                </c:pt>
                <c:pt idx="3">
                  <c:v>13022.53</c:v>
                </c:pt>
                <c:pt idx="4">
                  <c:v>29170.76</c:v>
                </c:pt>
                <c:pt idx="5">
                  <c:v>71002.67</c:v>
                </c:pt>
                <c:pt idx="6">
                  <c:v>64941.1</c:v>
                </c:pt>
                <c:pt idx="7">
                  <c:v>179928.234</c:v>
                </c:pt>
              </c:numCache>
            </c:numRef>
          </c:val>
          <c:extLst xmlns:c16r2="http://schemas.microsoft.com/office/drawing/2015/06/chart">
            <c:ext xmlns:c16="http://schemas.microsoft.com/office/drawing/2014/chart" uri="{C3380CC4-5D6E-409C-BE32-E72D297353CC}">
              <c16:uniqueId val="{00000000-34DF-461A-B706-383E1505A0F9}"/>
            </c:ext>
          </c:extLst>
        </c:ser>
        <c:ser>
          <c:idx val="1"/>
          <c:order val="1"/>
          <c:tx>
            <c:strRef>
              <c:f>'Expo Arg Citricos a sem 30'!$D$9</c:f>
              <c:strCache>
                <c:ptCount val="1"/>
                <c:pt idx="0">
                  <c:v>Pomelo</c:v>
                </c:pt>
              </c:strCache>
            </c:strRef>
          </c:tx>
          <c:spPr>
            <a:solidFill>
              <a:schemeClr val="accent2"/>
            </a:solidFill>
            <a:ln>
              <a:noFill/>
            </a:ln>
            <a:effectLst/>
          </c:spPr>
          <c:invertIfNegative val="0"/>
          <c:cat>
            <c:strRef>
              <c:f>'Expo Arg Citricos a sem 30'!$B$10:$B$17</c:f>
              <c:strCache>
                <c:ptCount val="8"/>
                <c:pt idx="0">
                  <c:v>Enero</c:v>
                </c:pt>
                <c:pt idx="1">
                  <c:v>Febrero</c:v>
                </c:pt>
                <c:pt idx="2">
                  <c:v>Marzo</c:v>
                </c:pt>
                <c:pt idx="3">
                  <c:v>Abril</c:v>
                </c:pt>
                <c:pt idx="4">
                  <c:v>Mayo</c:v>
                </c:pt>
                <c:pt idx="5">
                  <c:v>Junio </c:v>
                </c:pt>
                <c:pt idx="6">
                  <c:v>Julio 30/07</c:v>
                </c:pt>
                <c:pt idx="7">
                  <c:v>Total Acum Sem 30</c:v>
                </c:pt>
              </c:strCache>
            </c:strRef>
          </c:cat>
          <c:val>
            <c:numRef>
              <c:f>'Expo Arg Citricos a sem 30'!$D$10:$D$17</c:f>
              <c:numCache>
                <c:formatCode>#,##0.00</c:formatCode>
                <c:ptCount val="8"/>
                <c:pt idx="0">
                  <c:v>0</c:v>
                </c:pt>
                <c:pt idx="1">
                  <c:v>0</c:v>
                </c:pt>
                <c:pt idx="2">
                  <c:v>13.62</c:v>
                </c:pt>
                <c:pt idx="3">
                  <c:v>0</c:v>
                </c:pt>
                <c:pt idx="4">
                  <c:v>80.174999999999997</c:v>
                </c:pt>
                <c:pt idx="5">
                  <c:v>201.5</c:v>
                </c:pt>
                <c:pt idx="6">
                  <c:v>106.68</c:v>
                </c:pt>
                <c:pt idx="7">
                  <c:v>401.97500000000002</c:v>
                </c:pt>
              </c:numCache>
            </c:numRef>
          </c:val>
          <c:extLst xmlns:c16r2="http://schemas.microsoft.com/office/drawing/2015/06/chart">
            <c:ext xmlns:c16="http://schemas.microsoft.com/office/drawing/2014/chart" uri="{C3380CC4-5D6E-409C-BE32-E72D297353CC}">
              <c16:uniqueId val="{00000001-34DF-461A-B706-383E1505A0F9}"/>
            </c:ext>
          </c:extLst>
        </c:ser>
        <c:ser>
          <c:idx val="2"/>
          <c:order val="2"/>
          <c:tx>
            <c:strRef>
              <c:f>'Expo Arg Citricos a sem 30'!$E$9</c:f>
              <c:strCache>
                <c:ptCount val="1"/>
                <c:pt idx="0">
                  <c:v>Mandarina</c:v>
                </c:pt>
              </c:strCache>
            </c:strRef>
          </c:tx>
          <c:spPr>
            <a:solidFill>
              <a:schemeClr val="accent3"/>
            </a:solidFill>
            <a:ln>
              <a:noFill/>
            </a:ln>
            <a:effectLst/>
          </c:spPr>
          <c:invertIfNegative val="0"/>
          <c:cat>
            <c:strRef>
              <c:f>'Expo Arg Citricos a sem 30'!$B$10:$B$17</c:f>
              <c:strCache>
                <c:ptCount val="8"/>
                <c:pt idx="0">
                  <c:v>Enero</c:v>
                </c:pt>
                <c:pt idx="1">
                  <c:v>Febrero</c:v>
                </c:pt>
                <c:pt idx="2">
                  <c:v>Marzo</c:v>
                </c:pt>
                <c:pt idx="3">
                  <c:v>Abril</c:v>
                </c:pt>
                <c:pt idx="4">
                  <c:v>Mayo</c:v>
                </c:pt>
                <c:pt idx="5">
                  <c:v>Junio </c:v>
                </c:pt>
                <c:pt idx="6">
                  <c:v>Julio 30/07</c:v>
                </c:pt>
                <c:pt idx="7">
                  <c:v>Total Acum Sem 30</c:v>
                </c:pt>
              </c:strCache>
            </c:strRef>
          </c:cat>
          <c:val>
            <c:numRef>
              <c:f>'Expo Arg Citricos a sem 30'!$E$10:$E$17</c:f>
              <c:numCache>
                <c:formatCode>#,##0.00</c:formatCode>
                <c:ptCount val="8"/>
                <c:pt idx="0">
                  <c:v>20.8</c:v>
                </c:pt>
                <c:pt idx="1">
                  <c:v>8</c:v>
                </c:pt>
                <c:pt idx="2">
                  <c:v>301.16000000000003</c:v>
                </c:pt>
                <c:pt idx="3">
                  <c:v>1613.27</c:v>
                </c:pt>
                <c:pt idx="4">
                  <c:v>7167.3</c:v>
                </c:pt>
                <c:pt idx="5">
                  <c:v>11253.2</c:v>
                </c:pt>
                <c:pt idx="6">
                  <c:v>7648.93</c:v>
                </c:pt>
                <c:pt idx="7">
                  <c:v>28012.660000000003</c:v>
                </c:pt>
              </c:numCache>
            </c:numRef>
          </c:val>
          <c:extLst xmlns:c16r2="http://schemas.microsoft.com/office/drawing/2015/06/chart">
            <c:ext xmlns:c16="http://schemas.microsoft.com/office/drawing/2014/chart" uri="{C3380CC4-5D6E-409C-BE32-E72D297353CC}">
              <c16:uniqueId val="{00000002-34DF-461A-B706-383E1505A0F9}"/>
            </c:ext>
          </c:extLst>
        </c:ser>
        <c:ser>
          <c:idx val="3"/>
          <c:order val="3"/>
          <c:tx>
            <c:strRef>
              <c:f>'Expo Arg Citricos a sem 30'!$F$9</c:f>
              <c:strCache>
                <c:ptCount val="1"/>
                <c:pt idx="0">
                  <c:v>Naranja</c:v>
                </c:pt>
              </c:strCache>
            </c:strRef>
          </c:tx>
          <c:spPr>
            <a:solidFill>
              <a:schemeClr val="accent4"/>
            </a:solidFill>
            <a:ln>
              <a:noFill/>
            </a:ln>
            <a:effectLst/>
          </c:spPr>
          <c:invertIfNegative val="0"/>
          <c:cat>
            <c:strRef>
              <c:f>'Expo Arg Citricos a sem 30'!$B$10:$B$17</c:f>
              <c:strCache>
                <c:ptCount val="8"/>
                <c:pt idx="0">
                  <c:v>Enero</c:v>
                </c:pt>
                <c:pt idx="1">
                  <c:v>Febrero</c:v>
                </c:pt>
                <c:pt idx="2">
                  <c:v>Marzo</c:v>
                </c:pt>
                <c:pt idx="3">
                  <c:v>Abril</c:v>
                </c:pt>
                <c:pt idx="4">
                  <c:v>Mayo</c:v>
                </c:pt>
                <c:pt idx="5">
                  <c:v>Junio </c:v>
                </c:pt>
                <c:pt idx="6">
                  <c:v>Julio 30/07</c:v>
                </c:pt>
                <c:pt idx="7">
                  <c:v>Total Acum Sem 30</c:v>
                </c:pt>
              </c:strCache>
            </c:strRef>
          </c:cat>
          <c:val>
            <c:numRef>
              <c:f>'Expo Arg Citricos a sem 30'!$F$10:$F$17</c:f>
              <c:numCache>
                <c:formatCode>#,##0.00</c:formatCode>
                <c:ptCount val="8"/>
                <c:pt idx="0">
                  <c:v>3068.8</c:v>
                </c:pt>
                <c:pt idx="1">
                  <c:v>1865.56</c:v>
                </c:pt>
                <c:pt idx="2">
                  <c:v>3029.48</c:v>
                </c:pt>
                <c:pt idx="3">
                  <c:v>1406</c:v>
                </c:pt>
                <c:pt idx="4">
                  <c:v>2087.0500000000002</c:v>
                </c:pt>
                <c:pt idx="5">
                  <c:v>5239.8500000000004</c:v>
                </c:pt>
                <c:pt idx="6">
                  <c:v>10466.617</c:v>
                </c:pt>
                <c:pt idx="7">
                  <c:v>27163.356999999996</c:v>
                </c:pt>
              </c:numCache>
            </c:numRef>
          </c:val>
          <c:extLst xmlns:c16r2="http://schemas.microsoft.com/office/drawing/2015/06/chart">
            <c:ext xmlns:c16="http://schemas.microsoft.com/office/drawing/2014/chart" uri="{C3380CC4-5D6E-409C-BE32-E72D297353CC}">
              <c16:uniqueId val="{00000003-34DF-461A-B706-383E1505A0F9}"/>
            </c:ext>
          </c:extLst>
        </c:ser>
        <c:dLbls>
          <c:showLegendKey val="0"/>
          <c:showVal val="0"/>
          <c:showCatName val="0"/>
          <c:showSerName val="0"/>
          <c:showPercent val="0"/>
          <c:showBubbleSize val="0"/>
        </c:dLbls>
        <c:gapWidth val="150"/>
        <c:overlap val="100"/>
        <c:axId val="167192448"/>
        <c:axId val="167236352"/>
      </c:barChart>
      <c:catAx>
        <c:axId val="167192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7236352"/>
        <c:crosses val="autoZero"/>
        <c:auto val="1"/>
        <c:lblAlgn val="ctr"/>
        <c:lblOffset val="100"/>
        <c:noMultiLvlLbl val="0"/>
      </c:catAx>
      <c:valAx>
        <c:axId val="16723635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71924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s-ES" sz="900">
                <a:solidFill>
                  <a:schemeClr val="tx1"/>
                </a:solidFill>
              </a:rPr>
              <a:t>Exportacion Argentina de Citricos a sem 30</a:t>
            </a:r>
          </a:p>
        </c:rich>
      </c:tx>
      <c:layout/>
      <c:overlay val="0"/>
      <c:spPr>
        <a:noFill/>
        <a:ln>
          <a:noFill/>
        </a:ln>
        <a:effectLst/>
      </c:spPr>
    </c:title>
    <c:autoTitleDeleted val="0"/>
    <c:plotArea>
      <c:layout/>
      <c:doughnutChart>
        <c:varyColors val="1"/>
        <c:ser>
          <c:idx val="0"/>
          <c:order val="0"/>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xmlns:c16r2="http://schemas.microsoft.com/office/drawing/2015/06/chart">
              <c:ext xmlns:c16="http://schemas.microsoft.com/office/drawing/2014/chart" uri="{C3380CC4-5D6E-409C-BE32-E72D297353CC}">
                <c16:uniqueId val="{00000001-AA53-4420-A299-758641571787}"/>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xmlns:c16r2="http://schemas.microsoft.com/office/drawing/2015/06/chart">
              <c:ext xmlns:c16="http://schemas.microsoft.com/office/drawing/2014/chart" uri="{C3380CC4-5D6E-409C-BE32-E72D297353CC}">
                <c16:uniqueId val="{00000003-AA53-4420-A299-758641571787}"/>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xmlns:c16r2="http://schemas.microsoft.com/office/drawing/2015/06/chart">
              <c:ext xmlns:c16="http://schemas.microsoft.com/office/drawing/2014/chart" uri="{C3380CC4-5D6E-409C-BE32-E72D297353CC}">
                <c16:uniqueId val="{00000005-AA53-4420-A299-758641571787}"/>
              </c:ext>
            </c:extLst>
          </c:dPt>
          <c:dPt>
            <c:idx val="3"/>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extLst xmlns:c16r2="http://schemas.microsoft.com/office/drawing/2015/06/chart">
              <c:ext xmlns:c16="http://schemas.microsoft.com/office/drawing/2014/chart" uri="{C3380CC4-5D6E-409C-BE32-E72D297353CC}">
                <c16:uniqueId val="{00000007-AA53-4420-A299-758641571787}"/>
              </c:ext>
            </c:extLst>
          </c:dPt>
          <c:dLbls>
            <c:dLbl>
              <c:idx val="0"/>
              <c:layout>
                <c:manualLayout>
                  <c:x val="0.13544018058690735"/>
                  <c:y val="-2.7777777777777776E-2"/>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AA53-4420-A299-758641571787}"/>
                </c:ext>
              </c:extLst>
            </c:dLbl>
            <c:dLbl>
              <c:idx val="1"/>
              <c:layout>
                <c:manualLayout>
                  <c:x val="-0.11738148984198647"/>
                  <c:y val="9.7222222222222224E-2"/>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AA53-4420-A299-758641571787}"/>
                </c:ext>
              </c:extLst>
            </c:dLbl>
            <c:dLbl>
              <c:idx val="2"/>
              <c:layout>
                <c:manualLayout>
                  <c:x val="-0.13544018058690749"/>
                  <c:y val="-5.5555555555555552E-2"/>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AA53-4420-A299-758641571787}"/>
                </c:ext>
              </c:extLst>
            </c:dLbl>
            <c:dLbl>
              <c:idx val="3"/>
              <c:layout>
                <c:manualLayout>
                  <c:x val="-9.9322799097065456E-2"/>
                  <c:y val="-8.3333333333333329E-2"/>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AA53-4420-A299-758641571787}"/>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1"/>
            <c:showSerName val="0"/>
            <c:showPercent val="0"/>
            <c:showBubbleSize val="0"/>
            <c:showLeaderLines val="1"/>
            <c:leaderLines>
              <c:spPr>
                <a:ln w="9525">
                  <a:solidFill>
                    <a:schemeClr val="tx1">
                      <a:lumMod val="35000"/>
                      <a:lumOff val="65000"/>
                    </a:schemeClr>
                  </a:solidFill>
                </a:ln>
                <a:effectLst/>
              </c:spPr>
            </c:leaderLines>
            <c:extLst xmlns:c16r2="http://schemas.microsoft.com/office/drawing/2015/06/chart">
              <c:ext xmlns:c15="http://schemas.microsoft.com/office/drawing/2012/chart" uri="{CE6537A1-D6FC-4f65-9D91-7224C49458BB}"/>
            </c:extLst>
          </c:dLbls>
          <c:cat>
            <c:strRef>
              <c:f>('Expo Arg Citricos a sem 30'!$C$9,'Expo Arg Citricos a sem 30'!$D$9,'Expo Arg Citricos a sem 30'!$E$9,'Expo Arg Citricos a sem 30'!$F$9)</c:f>
              <c:strCache>
                <c:ptCount val="4"/>
                <c:pt idx="0">
                  <c:v>Limon</c:v>
                </c:pt>
                <c:pt idx="1">
                  <c:v>Pomelo</c:v>
                </c:pt>
                <c:pt idx="2">
                  <c:v>Mandarina</c:v>
                </c:pt>
                <c:pt idx="3">
                  <c:v>Naranja</c:v>
                </c:pt>
              </c:strCache>
            </c:strRef>
          </c:cat>
          <c:val>
            <c:numRef>
              <c:f>('Expo Arg Citricos a sem 30'!$C$17,'Expo Arg Citricos a sem 30'!$D$17,'Expo Arg Citricos a sem 30'!$E$17,'Expo Arg Citricos a sem 30'!$F$17)</c:f>
              <c:numCache>
                <c:formatCode>#,##0.00</c:formatCode>
                <c:ptCount val="4"/>
                <c:pt idx="0">
                  <c:v>179928.234</c:v>
                </c:pt>
                <c:pt idx="1">
                  <c:v>401.97500000000002</c:v>
                </c:pt>
                <c:pt idx="2">
                  <c:v>28012.660000000003</c:v>
                </c:pt>
                <c:pt idx="3">
                  <c:v>27163.356999999996</c:v>
                </c:pt>
              </c:numCache>
            </c:numRef>
          </c:val>
          <c:extLst xmlns:c16r2="http://schemas.microsoft.com/office/drawing/2015/06/chart">
            <c:ext xmlns:c16="http://schemas.microsoft.com/office/drawing/2014/chart" uri="{C3380CC4-5D6E-409C-BE32-E72D297353CC}">
              <c16:uniqueId val="{00000008-AA53-4420-A299-758641571787}"/>
            </c:ext>
          </c:extLst>
        </c:ser>
        <c:dLbls>
          <c:showLegendKey val="0"/>
          <c:showVal val="0"/>
          <c:showCatName val="1"/>
          <c:showSerName val="0"/>
          <c:showPercent val="1"/>
          <c:showBubbleSize val="0"/>
          <c:showLeaderLines val="1"/>
        </c:dLbls>
        <c:firstSliceAng val="0"/>
        <c:holeSize val="70"/>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s-ES" sz="1200">
                <a:solidFill>
                  <a:schemeClr val="tx1"/>
                </a:solidFill>
              </a:rPr>
              <a:t>destino export.</a:t>
            </a:r>
            <a:r>
              <a:rPr lang="es-ES" sz="1200" baseline="0">
                <a:solidFill>
                  <a:schemeClr val="tx1"/>
                </a:solidFill>
              </a:rPr>
              <a:t> argentina limones sem 30</a:t>
            </a:r>
            <a:endParaRPr lang="es-ES" sz="1200">
              <a:solidFill>
                <a:schemeClr val="tx1"/>
              </a:solidFill>
            </a:endParaRPr>
          </a:p>
        </c:rich>
      </c:tx>
      <c:layout>
        <c:manualLayout>
          <c:xMode val="edge"/>
          <c:yMode val="edge"/>
          <c:x val="0.1620017291884428"/>
          <c:y val="2.2980733881593728E-2"/>
        </c:manualLayout>
      </c:layout>
      <c:overlay val="0"/>
      <c:spPr>
        <a:noFill/>
        <a:ln>
          <a:noFill/>
        </a:ln>
        <a:effectLst/>
      </c:spPr>
    </c:title>
    <c:autoTitleDeleted val="0"/>
    <c:plotArea>
      <c:layout>
        <c:manualLayout>
          <c:layoutTarget val="inner"/>
          <c:xMode val="edge"/>
          <c:yMode val="edge"/>
          <c:x val="0.26582152829684863"/>
          <c:y val="0.18572202781754504"/>
          <c:w val="0.4683567448772048"/>
          <c:h val="0.71147809245432725"/>
        </c:manualLayout>
      </c:layout>
      <c:doughnutChart>
        <c:varyColors val="1"/>
        <c:ser>
          <c:idx val="0"/>
          <c:order val="0"/>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xmlns:c16r2="http://schemas.microsoft.com/office/drawing/2015/06/chart">
              <c:ext xmlns:c16="http://schemas.microsoft.com/office/drawing/2014/chart" uri="{C3380CC4-5D6E-409C-BE32-E72D297353CC}">
                <c16:uniqueId val="{00000001-EF5B-4E25-AE62-5144280463DF}"/>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xmlns:c16r2="http://schemas.microsoft.com/office/drawing/2015/06/chart">
              <c:ext xmlns:c16="http://schemas.microsoft.com/office/drawing/2014/chart" uri="{C3380CC4-5D6E-409C-BE32-E72D297353CC}">
                <c16:uniqueId val="{00000003-EF5B-4E25-AE62-5144280463DF}"/>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xmlns:c16r2="http://schemas.microsoft.com/office/drawing/2015/06/chart">
              <c:ext xmlns:c16="http://schemas.microsoft.com/office/drawing/2014/chart" uri="{C3380CC4-5D6E-409C-BE32-E72D297353CC}">
                <c16:uniqueId val="{00000005-EF5B-4E25-AE62-5144280463DF}"/>
              </c:ext>
            </c:extLst>
          </c:dPt>
          <c:dPt>
            <c:idx val="3"/>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extLst xmlns:c16r2="http://schemas.microsoft.com/office/drawing/2015/06/chart">
              <c:ext xmlns:c16="http://schemas.microsoft.com/office/drawing/2014/chart" uri="{C3380CC4-5D6E-409C-BE32-E72D297353CC}">
                <c16:uniqueId val="{00000007-EF5B-4E25-AE62-5144280463DF}"/>
              </c:ext>
            </c:extLst>
          </c:dPt>
          <c:dPt>
            <c:idx val="4"/>
            <c:bubble3D val="0"/>
            <c:spPr>
              <a:pattFill prst="ltUpDiag">
                <a:fgClr>
                  <a:schemeClr val="accent5"/>
                </a:fgClr>
                <a:bgClr>
                  <a:schemeClr val="accent5">
                    <a:lumMod val="20000"/>
                    <a:lumOff val="80000"/>
                  </a:schemeClr>
                </a:bgClr>
              </a:pattFill>
              <a:ln w="19050">
                <a:solidFill>
                  <a:schemeClr val="lt1"/>
                </a:solidFill>
              </a:ln>
              <a:effectLst>
                <a:innerShdw blurRad="114300">
                  <a:schemeClr val="accent5"/>
                </a:innerShdw>
              </a:effectLst>
            </c:spPr>
            <c:extLst xmlns:c16r2="http://schemas.microsoft.com/office/drawing/2015/06/chart">
              <c:ext xmlns:c16="http://schemas.microsoft.com/office/drawing/2014/chart" uri="{C3380CC4-5D6E-409C-BE32-E72D297353CC}">
                <c16:uniqueId val="{00000009-EF5B-4E25-AE62-5144280463DF}"/>
              </c:ext>
            </c:extLst>
          </c:dPt>
          <c:dPt>
            <c:idx val="5"/>
            <c:bubble3D val="0"/>
            <c:spPr>
              <a:pattFill prst="ltUpDiag">
                <a:fgClr>
                  <a:schemeClr val="accent6"/>
                </a:fgClr>
                <a:bgClr>
                  <a:schemeClr val="accent6">
                    <a:lumMod val="20000"/>
                    <a:lumOff val="80000"/>
                  </a:schemeClr>
                </a:bgClr>
              </a:pattFill>
              <a:ln w="19050">
                <a:solidFill>
                  <a:schemeClr val="lt1"/>
                </a:solidFill>
              </a:ln>
              <a:effectLst>
                <a:innerShdw blurRad="114300">
                  <a:schemeClr val="accent6"/>
                </a:innerShdw>
              </a:effectLst>
            </c:spPr>
            <c:extLst xmlns:c16r2="http://schemas.microsoft.com/office/drawing/2015/06/chart">
              <c:ext xmlns:c16="http://schemas.microsoft.com/office/drawing/2014/chart" uri="{C3380CC4-5D6E-409C-BE32-E72D297353CC}">
                <c16:uniqueId val="{0000000B-EF5B-4E25-AE62-5144280463DF}"/>
              </c:ext>
            </c:extLst>
          </c:dPt>
          <c:dPt>
            <c:idx val="6"/>
            <c:bubble3D val="0"/>
            <c:spPr>
              <a:pattFill prst="ltUpDiag">
                <a:fgClr>
                  <a:schemeClr val="accent1">
                    <a:lumMod val="60000"/>
                  </a:schemeClr>
                </a:fgClr>
                <a:bgClr>
                  <a:schemeClr val="accent1">
                    <a:lumMod val="60000"/>
                    <a:lumMod val="20000"/>
                    <a:lumOff val="80000"/>
                  </a:schemeClr>
                </a:bgClr>
              </a:pattFill>
              <a:ln w="19050">
                <a:solidFill>
                  <a:schemeClr val="lt1"/>
                </a:solidFill>
              </a:ln>
              <a:effectLst>
                <a:innerShdw blurRad="114300">
                  <a:schemeClr val="accent1">
                    <a:lumMod val="60000"/>
                  </a:schemeClr>
                </a:innerShdw>
              </a:effectLst>
            </c:spPr>
            <c:extLst xmlns:c16r2="http://schemas.microsoft.com/office/drawing/2015/06/chart">
              <c:ext xmlns:c16="http://schemas.microsoft.com/office/drawing/2014/chart" uri="{C3380CC4-5D6E-409C-BE32-E72D297353CC}">
                <c16:uniqueId val="{0000000D-EF5B-4E25-AE62-5144280463DF}"/>
              </c:ext>
            </c:extLst>
          </c:dPt>
          <c:dPt>
            <c:idx val="7"/>
            <c:bubble3D val="0"/>
            <c:spPr>
              <a:pattFill prst="ltUpDiag">
                <a:fgClr>
                  <a:schemeClr val="accent2">
                    <a:lumMod val="60000"/>
                  </a:schemeClr>
                </a:fgClr>
                <a:bgClr>
                  <a:schemeClr val="accent2">
                    <a:lumMod val="60000"/>
                    <a:lumMod val="20000"/>
                    <a:lumOff val="80000"/>
                  </a:schemeClr>
                </a:bgClr>
              </a:pattFill>
              <a:ln w="19050">
                <a:solidFill>
                  <a:schemeClr val="lt1"/>
                </a:solidFill>
              </a:ln>
              <a:effectLst>
                <a:innerShdw blurRad="114300">
                  <a:schemeClr val="accent2">
                    <a:lumMod val="60000"/>
                  </a:schemeClr>
                </a:innerShdw>
              </a:effectLst>
            </c:spPr>
            <c:extLst xmlns:c16r2="http://schemas.microsoft.com/office/drawing/2015/06/chart">
              <c:ext xmlns:c16="http://schemas.microsoft.com/office/drawing/2014/chart" uri="{C3380CC4-5D6E-409C-BE32-E72D297353CC}">
                <c16:uniqueId val="{0000000F-EF5B-4E25-AE62-5144280463DF}"/>
              </c:ext>
            </c:extLst>
          </c:dPt>
          <c:dPt>
            <c:idx val="8"/>
            <c:bubble3D val="0"/>
            <c:spPr>
              <a:pattFill prst="ltUpDiag">
                <a:fgClr>
                  <a:schemeClr val="accent3">
                    <a:lumMod val="60000"/>
                  </a:schemeClr>
                </a:fgClr>
                <a:bgClr>
                  <a:schemeClr val="accent3">
                    <a:lumMod val="60000"/>
                    <a:lumMod val="20000"/>
                    <a:lumOff val="80000"/>
                  </a:schemeClr>
                </a:bgClr>
              </a:pattFill>
              <a:ln w="19050">
                <a:solidFill>
                  <a:schemeClr val="lt1"/>
                </a:solidFill>
              </a:ln>
              <a:effectLst>
                <a:innerShdw blurRad="114300">
                  <a:schemeClr val="accent3">
                    <a:lumMod val="60000"/>
                  </a:schemeClr>
                </a:innerShdw>
              </a:effectLst>
            </c:spPr>
            <c:extLst xmlns:c16r2="http://schemas.microsoft.com/office/drawing/2015/06/chart">
              <c:ext xmlns:c16="http://schemas.microsoft.com/office/drawing/2014/chart" uri="{C3380CC4-5D6E-409C-BE32-E72D297353CC}">
                <c16:uniqueId val="{00000011-EF5B-4E25-AE62-5144280463DF}"/>
              </c:ext>
            </c:extLst>
          </c:dPt>
          <c:dLbls>
            <c:dLbl>
              <c:idx val="0"/>
              <c:layout>
                <c:manualLayout>
                  <c:x val="2.0218735535633338E-2"/>
                  <c:y val="-0.10327486877326593"/>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5396001028380727"/>
                      <c:h val="0.17982424262347088"/>
                    </c:manualLayout>
                  </c15:layout>
                </c:ext>
                <c:ext xmlns:c16="http://schemas.microsoft.com/office/drawing/2014/chart" uri="{C3380CC4-5D6E-409C-BE32-E72D297353CC}">
                  <c16:uniqueId val="{00000001-EF5B-4E25-AE62-5144280463DF}"/>
                </c:ext>
              </c:extLst>
            </c:dLbl>
            <c:dLbl>
              <c:idx val="1"/>
              <c:layout>
                <c:manualLayout>
                  <c:x val="0.12102333808810523"/>
                  <c:y val="-8.8092813212775956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EF5B-4E25-AE62-5144280463DF}"/>
                </c:ext>
              </c:extLst>
            </c:dLbl>
            <c:dLbl>
              <c:idx val="2"/>
              <c:layout>
                <c:manualLayout>
                  <c:x val="0.1285872967186118"/>
                  <c:y val="-3.510904895859421E-17"/>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F5B-4E25-AE62-5144280463DF}"/>
                </c:ext>
              </c:extLst>
            </c:dLbl>
            <c:dLbl>
              <c:idx val="3"/>
              <c:layout>
                <c:manualLayout>
                  <c:x val="0.1311086162621139"/>
                  <c:y val="0"/>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EF5B-4E25-AE62-5144280463DF}"/>
                </c:ext>
              </c:extLst>
            </c:dLbl>
            <c:dLbl>
              <c:idx val="4"/>
              <c:layout>
                <c:manualLayout>
                  <c:x val="0.10589542082709198"/>
                  <c:y val="0"/>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EF5B-4E25-AE62-5144280463DF}"/>
                </c:ext>
              </c:extLst>
            </c:dLbl>
            <c:dLbl>
              <c:idx val="5"/>
              <c:layout>
                <c:manualLayout>
                  <c:x val="0.1651464300993935"/>
                  <c:y val="8.2347931326811674E-2"/>
                </c:manualLayout>
              </c:layout>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lumMod val="75000"/>
                          <a:lumOff val="25000"/>
                        </a:schemeClr>
                      </a:solidFill>
                      <a:latin typeface="+mn-lt"/>
                      <a:ea typeface="+mn-ea"/>
                      <a:cs typeface="+mn-cs"/>
                    </a:defRPr>
                  </a:pPr>
                  <a:endParaRPr lang="es-ES"/>
                </a:p>
              </c:txPr>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2196426674766653"/>
                      <c:h val="0.13769289717388244"/>
                    </c:manualLayout>
                  </c15:layout>
                </c:ext>
                <c:ext xmlns:c16="http://schemas.microsoft.com/office/drawing/2014/chart" uri="{C3380CC4-5D6E-409C-BE32-E72D297353CC}">
                  <c16:uniqueId val="{0000000B-EF5B-4E25-AE62-5144280463DF}"/>
                </c:ext>
              </c:extLst>
            </c:dLbl>
            <c:dLbl>
              <c:idx val="6"/>
              <c:layout>
                <c:manualLayout>
                  <c:x val="-0.11345937945759865"/>
                  <c:y val="8.4262690899177012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EF5B-4E25-AE62-5144280463DF}"/>
                </c:ext>
              </c:extLst>
            </c:dLbl>
            <c:dLbl>
              <c:idx val="7"/>
              <c:layout>
                <c:manualLayout>
                  <c:x val="-0.11345937945759865"/>
                  <c:y val="1.532048925439582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EF5B-4E25-AE62-5144280463DF}"/>
                </c:ext>
              </c:extLst>
            </c:dLbl>
            <c:dLbl>
              <c:idx val="8"/>
              <c:layout>
                <c:manualLayout>
                  <c:x val="-0.1764923680451535"/>
                  <c:y val="-4.2131345449588506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EF5B-4E25-AE62-5144280463DF}"/>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E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xmlns:c16r2="http://schemas.microsoft.com/office/drawing/2015/06/chart">
              <c:ext xmlns:c15="http://schemas.microsoft.com/office/drawing/2012/chart" uri="{CE6537A1-D6FC-4f65-9D91-7224C49458BB}"/>
            </c:extLst>
          </c:dLbls>
          <c:cat>
            <c:strRef>
              <c:f>('Expo Limon Mercados acum sem 30'!$B$8,'Expo Limon Mercados acum sem 30'!$B$9,'Expo Limon Mercados acum sem 30'!$B$10,'Expo Limon Mercados acum sem 30'!$B$11,'Expo Limon Mercados acum sem 30'!$B$13,'Expo Limon Mercados acum sem 30'!$B$14,'Expo Limon Mercados acum sem 30'!$B$15,'Expo Limon Mercados acum sem 30'!$B$16,'Expo Limon Mercados acum sem 30'!$B$17)</c:f>
              <c:strCache>
                <c:ptCount val="9"/>
                <c:pt idx="0">
                  <c:v>Grecia y Balcanes</c:v>
                </c:pt>
                <c:pt idx="1">
                  <c:v>Iberica</c:v>
                </c:pt>
                <c:pt idx="2">
                  <c:v>Italia</c:v>
                </c:pt>
                <c:pt idx="3">
                  <c:v>Norte Europa</c:v>
                </c:pt>
                <c:pt idx="4">
                  <c:v>Rusia</c:v>
                </c:pt>
                <c:pt idx="5">
                  <c:v>Odessa-Ucrania</c:v>
                </c:pt>
                <c:pt idx="6">
                  <c:v>Reino Unido</c:v>
                </c:pt>
                <c:pt idx="7">
                  <c:v>USA</c:v>
                </c:pt>
                <c:pt idx="8">
                  <c:v>*Otros Destinos</c:v>
                </c:pt>
              </c:strCache>
            </c:strRef>
          </c:cat>
          <c:val>
            <c:numRef>
              <c:f>('Expo Limon Mercados acum sem 30'!$C$8,'Expo Limon Mercados acum sem 30'!$C$9,'Expo Limon Mercados acum sem 30'!$C$10,'Expo Limon Mercados acum sem 30'!$C$11,'Expo Limon Mercados acum sem 30'!$C$13,'Expo Limon Mercados acum sem 30'!$C$14,'Expo Limon Mercados acum sem 30'!$C$15,'Expo Limon Mercados acum sem 30'!$C$16,'Expo Limon Mercados acum sem 30'!$C$17)</c:f>
              <c:numCache>
                <c:formatCode>#,##0.00</c:formatCode>
                <c:ptCount val="9"/>
                <c:pt idx="0">
                  <c:v>14706.564</c:v>
                </c:pt>
                <c:pt idx="1">
                  <c:v>5100.0959999999995</c:v>
                </c:pt>
                <c:pt idx="2">
                  <c:v>10425.012000000001</c:v>
                </c:pt>
                <c:pt idx="3">
                  <c:v>25775.248</c:v>
                </c:pt>
                <c:pt idx="4">
                  <c:v>26313.276000000002</c:v>
                </c:pt>
                <c:pt idx="5">
                  <c:v>6122.51</c:v>
                </c:pt>
                <c:pt idx="6">
                  <c:v>3916.5740000000001</c:v>
                </c:pt>
                <c:pt idx="7">
                  <c:v>54213.364000000001</c:v>
                </c:pt>
                <c:pt idx="8">
                  <c:v>19611.289199999999</c:v>
                </c:pt>
              </c:numCache>
            </c:numRef>
          </c:val>
          <c:extLst xmlns:c16r2="http://schemas.microsoft.com/office/drawing/2015/06/chart">
            <c:ext xmlns:c16="http://schemas.microsoft.com/office/drawing/2014/chart" uri="{C3380CC4-5D6E-409C-BE32-E72D297353CC}">
              <c16:uniqueId val="{00000012-EF5B-4E25-AE62-5144280463DF}"/>
            </c:ext>
          </c:extLst>
        </c:ser>
        <c:dLbls>
          <c:showLegendKey val="0"/>
          <c:showVal val="0"/>
          <c:showCatName val="1"/>
          <c:showSerName val="0"/>
          <c:showPercent val="1"/>
          <c:showBubbleSize val="0"/>
          <c:showLeaderLines val="1"/>
        </c:dLbls>
        <c:firstSliceAng val="0"/>
        <c:holeSize val="70"/>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a:t>Exportaciones de ARGENTINA vs RSA</a:t>
            </a:r>
          </a:p>
        </c:rich>
      </c:tx>
      <c:overlay val="0"/>
      <c:spPr>
        <a:noFill/>
        <a:ln>
          <a:noFill/>
        </a:ln>
        <a:effectLst/>
      </c:spPr>
    </c:title>
    <c:autoTitleDeleted val="0"/>
    <c:plotArea>
      <c:layout/>
      <c:barChart>
        <c:barDir val="bar"/>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6-B1E2-4C5F-AF28-93B6997419B8}"/>
              </c:ext>
            </c:extLst>
          </c:dPt>
          <c:dPt>
            <c:idx val="3"/>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5-B1E2-4C5F-AF28-93B6997419B8}"/>
              </c:ext>
            </c:extLst>
          </c:dPt>
          <c:dPt>
            <c:idx val="5"/>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4-B1E2-4C5F-AF28-93B6997419B8}"/>
              </c:ext>
            </c:extLst>
          </c:dPt>
          <c:dPt>
            <c:idx val="7"/>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3-B1E2-4C5F-AF28-93B6997419B8}"/>
              </c:ext>
            </c:extLst>
          </c:dPt>
          <c:dPt>
            <c:idx val="9"/>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2-B1E2-4C5F-AF28-93B6997419B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'Comparativo expo RSA y ARG'!$B$5:$C$14</c:f>
              <c:multiLvlStrCache>
                <c:ptCount val="10"/>
                <c:lvl>
                  <c:pt idx="0">
                    <c:v>Argentina</c:v>
                  </c:pt>
                  <c:pt idx="1">
                    <c:v>RSA</c:v>
                  </c:pt>
                  <c:pt idx="2">
                    <c:v>Argentina</c:v>
                  </c:pt>
                  <c:pt idx="3">
                    <c:v>RSA</c:v>
                  </c:pt>
                  <c:pt idx="4">
                    <c:v>Argentina</c:v>
                  </c:pt>
                  <c:pt idx="5">
                    <c:v>RSA</c:v>
                  </c:pt>
                  <c:pt idx="6">
                    <c:v>Argentina</c:v>
                  </c:pt>
                  <c:pt idx="7">
                    <c:v>RSA</c:v>
                  </c:pt>
                  <c:pt idx="8">
                    <c:v>Argentina</c:v>
                  </c:pt>
                  <c:pt idx="9">
                    <c:v>RSA</c:v>
                  </c:pt>
                </c:lvl>
                <c:lvl>
                  <c:pt idx="0">
                    <c:v>Reino Unido</c:v>
                  </c:pt>
                  <c:pt idx="2">
                    <c:v>Union Europea</c:v>
                  </c:pt>
                  <c:pt idx="4">
                    <c:v>Rusia</c:v>
                  </c:pt>
                  <c:pt idx="6">
                    <c:v>Canadá</c:v>
                  </c:pt>
                  <c:pt idx="8">
                    <c:v>Otros</c:v>
                  </c:pt>
                </c:lvl>
              </c:multiLvlStrCache>
            </c:multiLvlStrRef>
          </c:cat>
          <c:val>
            <c:numRef>
              <c:f>'Comparativo expo RSA y ARG'!$D$5:$D$14</c:f>
              <c:numCache>
                <c:formatCode>#,##0.00</c:formatCode>
                <c:ptCount val="10"/>
                <c:pt idx="0">
                  <c:v>3892.57</c:v>
                </c:pt>
                <c:pt idx="1">
                  <c:v>24552.78</c:v>
                </c:pt>
                <c:pt idx="2">
                  <c:v>64124.86</c:v>
                </c:pt>
                <c:pt idx="3">
                  <c:v>115130.01</c:v>
                </c:pt>
                <c:pt idx="4">
                  <c:v>27040.58</c:v>
                </c:pt>
                <c:pt idx="5">
                  <c:v>32907.360000000001</c:v>
                </c:pt>
                <c:pt idx="6">
                  <c:v>6983.63</c:v>
                </c:pt>
                <c:pt idx="7">
                  <c:v>16199.07</c:v>
                </c:pt>
                <c:pt idx="8">
                  <c:v>13571.75</c:v>
                </c:pt>
                <c:pt idx="9">
                  <c:v>131883.435</c:v>
                </c:pt>
              </c:numCache>
            </c:numRef>
          </c:val>
          <c:extLst xmlns:c16r2="http://schemas.microsoft.com/office/drawing/2015/06/chart">
            <c:ext xmlns:c16="http://schemas.microsoft.com/office/drawing/2014/chart" uri="{C3380CC4-5D6E-409C-BE32-E72D297353CC}">
              <c16:uniqueId val="{00000000-B1E2-4C5F-AF28-93B6997419B8}"/>
            </c:ext>
          </c:extLst>
        </c:ser>
        <c:dLbls>
          <c:dLblPos val="outEnd"/>
          <c:showLegendKey val="0"/>
          <c:showVal val="1"/>
          <c:showCatName val="0"/>
          <c:showSerName val="0"/>
          <c:showPercent val="0"/>
          <c:showBubbleSize val="0"/>
        </c:dLbls>
        <c:gapWidth val="182"/>
        <c:axId val="275692160"/>
        <c:axId val="275947520"/>
      </c:barChart>
      <c:catAx>
        <c:axId val="2756921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75947520"/>
        <c:crosses val="autoZero"/>
        <c:auto val="1"/>
        <c:lblAlgn val="ctr"/>
        <c:lblOffset val="100"/>
        <c:noMultiLvlLbl val="0"/>
      </c:catAx>
      <c:valAx>
        <c:axId val="275947520"/>
        <c:scaling>
          <c:orientation val="minMax"/>
        </c:scaling>
        <c:delete val="1"/>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crossAx val="2756921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'Resumen Semanal destinos'!$B$4</c:f>
              <c:strCache>
                <c:ptCount val="1"/>
                <c:pt idx="0">
                  <c:v>USA</c:v>
                </c:pt>
              </c:strCache>
            </c:strRef>
          </c:tx>
          <c:spPr>
            <a:ln w="28575" cap="rnd">
              <a:solidFill>
                <a:schemeClr val="accent1"/>
              </a:solidFill>
              <a:round/>
            </a:ln>
            <a:effectLst/>
          </c:spPr>
          <c:marker>
            <c:symbol val="none"/>
          </c:marker>
          <c:cat>
            <c:numRef>
              <c:f>'Resumen Semanal destinos'!$C$3:$K$3</c:f>
              <c:numCache>
                <c:formatCode>General</c:formatCode>
                <c:ptCount val="9"/>
                <c:pt idx="0">
                  <c:v>22</c:v>
                </c:pt>
                <c:pt idx="1">
                  <c:v>23</c:v>
                </c:pt>
                <c:pt idx="2">
                  <c:v>24</c:v>
                </c:pt>
                <c:pt idx="3">
                  <c:v>25</c:v>
                </c:pt>
                <c:pt idx="4">
                  <c:v>26</c:v>
                </c:pt>
                <c:pt idx="5">
                  <c:v>27</c:v>
                </c:pt>
                <c:pt idx="6">
                  <c:v>28</c:v>
                </c:pt>
                <c:pt idx="7">
                  <c:v>29</c:v>
                </c:pt>
                <c:pt idx="8">
                  <c:v>30</c:v>
                </c:pt>
              </c:numCache>
            </c:numRef>
          </c:cat>
          <c:val>
            <c:numRef>
              <c:f>'Resumen Semanal destinos'!$C$4:$K$4</c:f>
              <c:numCache>
                <c:formatCode>#,##0.00</c:formatCode>
                <c:ptCount val="9"/>
                <c:pt idx="0">
                  <c:v>18869.05</c:v>
                </c:pt>
                <c:pt idx="1">
                  <c:v>24816.640800000001</c:v>
                </c:pt>
                <c:pt idx="2">
                  <c:v>30622.913</c:v>
                </c:pt>
                <c:pt idx="3">
                  <c:v>35051.072200000002</c:v>
                </c:pt>
                <c:pt idx="4">
                  <c:v>41514.290800000002</c:v>
                </c:pt>
                <c:pt idx="5">
                  <c:v>45724.347800000003</c:v>
                </c:pt>
                <c:pt idx="6">
                  <c:v>50681.191688000006</c:v>
                </c:pt>
                <c:pt idx="7">
                  <c:v>55986.519216600005</c:v>
                </c:pt>
                <c:pt idx="8">
                  <c:v>57728.679216600009</c:v>
                </c:pt>
              </c:numCache>
            </c:numRef>
          </c:val>
          <c:smooth val="0"/>
          <c:extLst xmlns:c16r2="http://schemas.microsoft.com/office/drawing/2015/06/chart">
            <c:ext xmlns:c16="http://schemas.microsoft.com/office/drawing/2014/chart" uri="{C3380CC4-5D6E-409C-BE32-E72D297353CC}">
              <c16:uniqueId val="{00000000-BCA7-47CE-A099-ACD2B127424D}"/>
            </c:ext>
          </c:extLst>
        </c:ser>
        <c:ser>
          <c:idx val="1"/>
          <c:order val="1"/>
          <c:tx>
            <c:strRef>
              <c:f>'Resumen Semanal destinos'!$B$5</c:f>
              <c:strCache>
                <c:ptCount val="1"/>
                <c:pt idx="0">
                  <c:v>UE</c:v>
                </c:pt>
              </c:strCache>
            </c:strRef>
          </c:tx>
          <c:spPr>
            <a:ln w="28575" cap="rnd">
              <a:solidFill>
                <a:schemeClr val="accent2"/>
              </a:solidFill>
              <a:round/>
            </a:ln>
            <a:effectLst/>
          </c:spPr>
          <c:marker>
            <c:symbol val="none"/>
          </c:marker>
          <c:cat>
            <c:numRef>
              <c:f>'Resumen Semanal destinos'!$C$3:$K$3</c:f>
              <c:numCache>
                <c:formatCode>General</c:formatCode>
                <c:ptCount val="9"/>
                <c:pt idx="0">
                  <c:v>22</c:v>
                </c:pt>
                <c:pt idx="1">
                  <c:v>23</c:v>
                </c:pt>
                <c:pt idx="2">
                  <c:v>24</c:v>
                </c:pt>
                <c:pt idx="3">
                  <c:v>25</c:v>
                </c:pt>
                <c:pt idx="4">
                  <c:v>26</c:v>
                </c:pt>
                <c:pt idx="5">
                  <c:v>27</c:v>
                </c:pt>
                <c:pt idx="6">
                  <c:v>28</c:v>
                </c:pt>
                <c:pt idx="7">
                  <c:v>29</c:v>
                </c:pt>
                <c:pt idx="8">
                  <c:v>30</c:v>
                </c:pt>
              </c:numCache>
            </c:numRef>
          </c:cat>
          <c:val>
            <c:numRef>
              <c:f>'Resumen Semanal destinos'!$C$5:$K$5</c:f>
              <c:numCache>
                <c:formatCode>#,##0.00</c:formatCode>
                <c:ptCount val="9"/>
                <c:pt idx="0">
                  <c:v>5973.98</c:v>
                </c:pt>
                <c:pt idx="1">
                  <c:v>10242.082999999999</c:v>
                </c:pt>
                <c:pt idx="2">
                  <c:v>16028.074999999999</c:v>
                </c:pt>
                <c:pt idx="3">
                  <c:v>24420.561000000009</c:v>
                </c:pt>
                <c:pt idx="4">
                  <c:v>36488.338272000008</c:v>
                </c:pt>
                <c:pt idx="5">
                  <c:v>40925.407272000011</c:v>
                </c:pt>
                <c:pt idx="6">
                  <c:v>51820.736272000009</c:v>
                </c:pt>
                <c:pt idx="7">
                  <c:v>58821.553272000019</c:v>
                </c:pt>
                <c:pt idx="8">
                  <c:v>64124.87227200003</c:v>
                </c:pt>
              </c:numCache>
            </c:numRef>
          </c:val>
          <c:smooth val="0"/>
          <c:extLst xmlns:c16r2="http://schemas.microsoft.com/office/drawing/2015/06/chart">
            <c:ext xmlns:c16="http://schemas.microsoft.com/office/drawing/2014/chart" uri="{C3380CC4-5D6E-409C-BE32-E72D297353CC}">
              <c16:uniqueId val="{00000001-BCA7-47CE-A099-ACD2B127424D}"/>
            </c:ext>
          </c:extLst>
        </c:ser>
        <c:ser>
          <c:idx val="2"/>
          <c:order val="2"/>
          <c:tx>
            <c:strRef>
              <c:f>'Resumen Semanal destinos'!$B$6</c:f>
              <c:strCache>
                <c:ptCount val="1"/>
                <c:pt idx="0">
                  <c:v>RUSIA</c:v>
                </c:pt>
              </c:strCache>
            </c:strRef>
          </c:tx>
          <c:spPr>
            <a:ln w="28575" cap="rnd">
              <a:solidFill>
                <a:schemeClr val="accent3"/>
              </a:solidFill>
              <a:round/>
            </a:ln>
            <a:effectLst/>
          </c:spPr>
          <c:marker>
            <c:symbol val="none"/>
          </c:marker>
          <c:cat>
            <c:numRef>
              <c:f>'Resumen Semanal destinos'!$C$3:$K$3</c:f>
              <c:numCache>
                <c:formatCode>General</c:formatCode>
                <c:ptCount val="9"/>
                <c:pt idx="0">
                  <c:v>22</c:v>
                </c:pt>
                <c:pt idx="1">
                  <c:v>23</c:v>
                </c:pt>
                <c:pt idx="2">
                  <c:v>24</c:v>
                </c:pt>
                <c:pt idx="3">
                  <c:v>25</c:v>
                </c:pt>
                <c:pt idx="4">
                  <c:v>26</c:v>
                </c:pt>
                <c:pt idx="5">
                  <c:v>27</c:v>
                </c:pt>
                <c:pt idx="6">
                  <c:v>28</c:v>
                </c:pt>
                <c:pt idx="7">
                  <c:v>29</c:v>
                </c:pt>
                <c:pt idx="8">
                  <c:v>30</c:v>
                </c:pt>
              </c:numCache>
            </c:numRef>
          </c:cat>
          <c:val>
            <c:numRef>
              <c:f>'Resumen Semanal destinos'!$C$6:$K$6</c:f>
              <c:numCache>
                <c:formatCode>#,##0.00</c:formatCode>
                <c:ptCount val="9"/>
                <c:pt idx="0">
                  <c:v>15710.267</c:v>
                </c:pt>
                <c:pt idx="1">
                  <c:v>17845.456999999999</c:v>
                </c:pt>
                <c:pt idx="2">
                  <c:v>18607.091</c:v>
                </c:pt>
                <c:pt idx="3">
                  <c:v>20772.244999999999</c:v>
                </c:pt>
                <c:pt idx="4">
                  <c:v>22776.796999999999</c:v>
                </c:pt>
                <c:pt idx="5">
                  <c:v>24104.314999999999</c:v>
                </c:pt>
                <c:pt idx="6">
                  <c:v>25634.214189999999</c:v>
                </c:pt>
                <c:pt idx="7">
                  <c:v>26464.533189999998</c:v>
                </c:pt>
                <c:pt idx="8">
                  <c:v>27040.587189999998</c:v>
                </c:pt>
              </c:numCache>
            </c:numRef>
          </c:val>
          <c:smooth val="0"/>
          <c:extLst xmlns:c16r2="http://schemas.microsoft.com/office/drawing/2015/06/chart">
            <c:ext xmlns:c16="http://schemas.microsoft.com/office/drawing/2014/chart" uri="{C3380CC4-5D6E-409C-BE32-E72D297353CC}">
              <c16:uniqueId val="{00000002-BCA7-47CE-A099-ACD2B127424D}"/>
            </c:ext>
          </c:extLst>
        </c:ser>
        <c:ser>
          <c:idx val="3"/>
          <c:order val="3"/>
          <c:tx>
            <c:strRef>
              <c:f>'Resumen Semanal destinos'!$B$7</c:f>
              <c:strCache>
                <c:ptCount val="1"/>
                <c:pt idx="0">
                  <c:v>OTROS DESTINOS</c:v>
                </c:pt>
              </c:strCache>
            </c:strRef>
          </c:tx>
          <c:spPr>
            <a:ln w="28575" cap="rnd">
              <a:solidFill>
                <a:schemeClr val="accent4"/>
              </a:solidFill>
              <a:round/>
            </a:ln>
            <a:effectLst/>
          </c:spPr>
          <c:marker>
            <c:symbol val="none"/>
          </c:marker>
          <c:cat>
            <c:numRef>
              <c:f>'Resumen Semanal destinos'!$C$3:$K$3</c:f>
              <c:numCache>
                <c:formatCode>General</c:formatCode>
                <c:ptCount val="9"/>
                <c:pt idx="0">
                  <c:v>22</c:v>
                </c:pt>
                <c:pt idx="1">
                  <c:v>23</c:v>
                </c:pt>
                <c:pt idx="2">
                  <c:v>24</c:v>
                </c:pt>
                <c:pt idx="3">
                  <c:v>25</c:v>
                </c:pt>
                <c:pt idx="4">
                  <c:v>26</c:v>
                </c:pt>
                <c:pt idx="5">
                  <c:v>27</c:v>
                </c:pt>
                <c:pt idx="6">
                  <c:v>28</c:v>
                </c:pt>
                <c:pt idx="7">
                  <c:v>29</c:v>
                </c:pt>
                <c:pt idx="8">
                  <c:v>30</c:v>
                </c:pt>
              </c:numCache>
            </c:numRef>
          </c:cat>
          <c:val>
            <c:numRef>
              <c:f>'Resumen Semanal destinos'!$C$7:$K$7</c:f>
              <c:numCache>
                <c:formatCode>#,##0.00</c:formatCode>
                <c:ptCount val="9"/>
                <c:pt idx="0">
                  <c:v>13970.4</c:v>
                </c:pt>
                <c:pt idx="1">
                  <c:v>17638.846399999999</c:v>
                </c:pt>
                <c:pt idx="2">
                  <c:v>19689.575999999997</c:v>
                </c:pt>
                <c:pt idx="3">
                  <c:v>21629.806799999998</c:v>
                </c:pt>
                <c:pt idx="4">
                  <c:v>24522.231599999999</c:v>
                </c:pt>
                <c:pt idx="5">
                  <c:v>26640.295599999998</c:v>
                </c:pt>
                <c:pt idx="6">
                  <c:v>28525.764399999996</c:v>
                </c:pt>
                <c:pt idx="7">
                  <c:v>30018.764399999996</c:v>
                </c:pt>
                <c:pt idx="8">
                  <c:v>31034.107499999998</c:v>
                </c:pt>
              </c:numCache>
            </c:numRef>
          </c:val>
          <c:smooth val="0"/>
          <c:extLst xmlns:c16r2="http://schemas.microsoft.com/office/drawing/2015/06/chart">
            <c:ext xmlns:c16="http://schemas.microsoft.com/office/drawing/2014/chart" uri="{C3380CC4-5D6E-409C-BE32-E72D297353CC}">
              <c16:uniqueId val="{00000003-BCA7-47CE-A099-ACD2B127424D}"/>
            </c:ext>
          </c:extLst>
        </c:ser>
        <c:ser>
          <c:idx val="4"/>
          <c:order val="4"/>
          <c:tx>
            <c:strRef>
              <c:f>'Resumen Semanal destinos'!$B$8</c:f>
              <c:strCache>
                <c:ptCount val="1"/>
                <c:pt idx="0">
                  <c:v>TOTAL</c:v>
                </c:pt>
              </c:strCache>
            </c:strRef>
          </c:tx>
          <c:spPr>
            <a:ln w="28575" cap="rnd">
              <a:solidFill>
                <a:schemeClr val="accent5"/>
              </a:solidFill>
              <a:round/>
            </a:ln>
            <a:effectLst/>
          </c:spPr>
          <c:marker>
            <c:symbol val="none"/>
          </c:marker>
          <c:cat>
            <c:numRef>
              <c:f>'Resumen Semanal destinos'!$C$3:$K$3</c:f>
              <c:numCache>
                <c:formatCode>General</c:formatCode>
                <c:ptCount val="9"/>
                <c:pt idx="0">
                  <c:v>22</c:v>
                </c:pt>
                <c:pt idx="1">
                  <c:v>23</c:v>
                </c:pt>
                <c:pt idx="2">
                  <c:v>24</c:v>
                </c:pt>
                <c:pt idx="3">
                  <c:v>25</c:v>
                </c:pt>
                <c:pt idx="4">
                  <c:v>26</c:v>
                </c:pt>
                <c:pt idx="5">
                  <c:v>27</c:v>
                </c:pt>
                <c:pt idx="6">
                  <c:v>28</c:v>
                </c:pt>
                <c:pt idx="7">
                  <c:v>29</c:v>
                </c:pt>
                <c:pt idx="8">
                  <c:v>30</c:v>
                </c:pt>
              </c:numCache>
            </c:numRef>
          </c:cat>
          <c:val>
            <c:numRef>
              <c:f>'Resumen Semanal destinos'!$C$8:$K$8</c:f>
              <c:numCache>
                <c:formatCode>#,##0.00</c:formatCode>
                <c:ptCount val="9"/>
                <c:pt idx="0">
                  <c:v>54523.697</c:v>
                </c:pt>
                <c:pt idx="1">
                  <c:v>70543.027199999997</c:v>
                </c:pt>
                <c:pt idx="2">
                  <c:v>84947.654999999999</c:v>
                </c:pt>
                <c:pt idx="3">
                  <c:v>101873.685</c:v>
                </c:pt>
                <c:pt idx="4">
                  <c:v>125301.657672</c:v>
                </c:pt>
                <c:pt idx="5">
                  <c:v>137394.36567200001</c:v>
                </c:pt>
                <c:pt idx="6">
                  <c:v>156661.90655000001</c:v>
                </c:pt>
                <c:pt idx="7">
                  <c:v>171291.37007860001</c:v>
                </c:pt>
                <c:pt idx="8">
                  <c:v>179928.24617860001</c:v>
                </c:pt>
              </c:numCache>
            </c:numRef>
          </c:val>
          <c:smooth val="0"/>
          <c:extLst xmlns:c16r2="http://schemas.microsoft.com/office/drawing/2015/06/chart">
            <c:ext xmlns:c16="http://schemas.microsoft.com/office/drawing/2014/chart" uri="{C3380CC4-5D6E-409C-BE32-E72D297353CC}">
              <c16:uniqueId val="{00000004-BCA7-47CE-A099-ACD2B127424D}"/>
            </c:ext>
          </c:extLst>
        </c:ser>
        <c:dLbls>
          <c:showLegendKey val="0"/>
          <c:showVal val="0"/>
          <c:showCatName val="0"/>
          <c:showSerName val="0"/>
          <c:showPercent val="0"/>
          <c:showBubbleSize val="0"/>
        </c:dLbls>
        <c:marker val="1"/>
        <c:smooth val="0"/>
        <c:axId val="318283136"/>
        <c:axId val="165229696"/>
      </c:lineChart>
      <c:catAx>
        <c:axId val="31828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5229696"/>
        <c:crosses val="autoZero"/>
        <c:auto val="1"/>
        <c:lblAlgn val="ctr"/>
        <c:lblOffset val="100"/>
        <c:noMultiLvlLbl val="0"/>
      </c:catAx>
      <c:valAx>
        <c:axId val="1652296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182831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em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647700</xdr:colOff>
      <xdr:row>18</xdr:row>
      <xdr:rowOff>133631</xdr:rowOff>
    </xdr:from>
    <xdr:to>
      <xdr:col>7</xdr:col>
      <xdr:colOff>238125</xdr:colOff>
      <xdr:row>32</xdr:row>
      <xdr:rowOff>95250</xdr:rowOff>
    </xdr:to>
    <xdr:graphicFrame macro="">
      <xdr:nvGraphicFramePr>
        <xdr:cNvPr id="9" name="Gráfico 8">
          <a:extLst>
            <a:ext uri="{FF2B5EF4-FFF2-40B4-BE49-F238E27FC236}">
              <a16:creationId xmlns=""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xdr:colOff>
      <xdr:row>1</xdr:row>
      <xdr:rowOff>0</xdr:rowOff>
    </xdr:from>
    <xdr:to>
      <xdr:col>2</xdr:col>
      <xdr:colOff>361951</xdr:colOff>
      <xdr:row>3</xdr:row>
      <xdr:rowOff>186578</xdr:rowOff>
    </xdr:to>
    <xdr:pic>
      <xdr:nvPicPr>
        <xdr:cNvPr id="3" name="2 Imagen">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2"/>
        <a:srcRect/>
        <a:stretch>
          <a:fillRect/>
        </a:stretch>
      </xdr:blipFill>
      <xdr:spPr bwMode="auto">
        <a:xfrm>
          <a:off x="219076" y="238125"/>
          <a:ext cx="2686050" cy="662828"/>
        </a:xfrm>
        <a:prstGeom prst="rect">
          <a:avLst/>
        </a:prstGeom>
        <a:noFill/>
        <a:ln w="9525">
          <a:noFill/>
          <a:miter lim="800000"/>
          <a:headEnd/>
          <a:tailEnd/>
        </a:ln>
      </xdr:spPr>
    </xdr:pic>
    <xdr:clientData/>
  </xdr:twoCellAnchor>
  <xdr:twoCellAnchor>
    <xdr:from>
      <xdr:col>0</xdr:col>
      <xdr:colOff>152400</xdr:colOff>
      <xdr:row>18</xdr:row>
      <xdr:rowOff>147637</xdr:rowOff>
    </xdr:from>
    <xdr:to>
      <xdr:col>3</xdr:col>
      <xdr:colOff>533400</xdr:colOff>
      <xdr:row>32</xdr:row>
      <xdr:rowOff>90487</xdr:rowOff>
    </xdr:to>
    <xdr:graphicFrame macro="">
      <xdr:nvGraphicFramePr>
        <xdr:cNvPr id="2" name="Gráfico 1">
          <a:extLst>
            <a:ext uri="{FF2B5EF4-FFF2-40B4-BE49-F238E27FC236}">
              <a16:creationId xmlns=""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xdr:col>
      <xdr:colOff>1381125</xdr:colOff>
      <xdr:row>24</xdr:row>
      <xdr:rowOff>147982</xdr:rowOff>
    </xdr:from>
    <xdr:ext cx="1322606" cy="483722"/>
    <xdr:sp macro="" textlink="">
      <xdr:nvSpPr>
        <xdr:cNvPr id="4" name="CuadroTexto 3">
          <a:extLst>
            <a:ext uri="{FF2B5EF4-FFF2-40B4-BE49-F238E27FC236}">
              <a16:creationId xmlns="" xmlns:a16="http://schemas.microsoft.com/office/drawing/2014/main" id="{00000000-0008-0000-0000-000004000000}"/>
            </a:ext>
          </a:extLst>
        </xdr:cNvPr>
        <xdr:cNvSpPr txBox="1"/>
      </xdr:nvSpPr>
      <xdr:spPr>
        <a:xfrm>
          <a:off x="1595438" y="5624857"/>
          <a:ext cx="1322606" cy="4837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s-ES" sz="1100"/>
            <a:t>Total Expot. Sem</a:t>
          </a:r>
          <a:r>
            <a:rPr lang="es-ES" sz="1100" baseline="0"/>
            <a:t> 30</a:t>
          </a:r>
        </a:p>
        <a:p>
          <a:pPr algn="ctr"/>
          <a:r>
            <a:rPr lang="es-ES" sz="1400" b="1" baseline="0"/>
            <a:t>235.506,23 tn</a:t>
          </a:r>
          <a:endParaRPr lang="es-ES" sz="1400" b="1"/>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2</xdr:col>
      <xdr:colOff>830037</xdr:colOff>
      <xdr:row>3</xdr:row>
      <xdr:rowOff>140553</xdr:rowOff>
    </xdr:to>
    <xdr:pic>
      <xdr:nvPicPr>
        <xdr:cNvPr id="2" name="1 Imagen">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a:srcRect/>
        <a:stretch>
          <a:fillRect/>
        </a:stretch>
      </xdr:blipFill>
      <xdr:spPr bwMode="auto">
        <a:xfrm>
          <a:off x="489858" y="204107"/>
          <a:ext cx="2762250" cy="664029"/>
        </a:xfrm>
        <a:prstGeom prst="rect">
          <a:avLst/>
        </a:prstGeom>
        <a:noFill/>
        <a:ln w="9525">
          <a:noFill/>
          <a:miter lim="800000"/>
          <a:headEnd/>
          <a:tailEnd/>
        </a:ln>
      </xdr:spPr>
    </xdr:pic>
    <xdr:clientData/>
  </xdr:twoCellAnchor>
  <xdr:twoCellAnchor>
    <xdr:from>
      <xdr:col>1</xdr:col>
      <xdr:colOff>140071</xdr:colOff>
      <xdr:row>22</xdr:row>
      <xdr:rowOff>135590</xdr:rowOff>
    </xdr:from>
    <xdr:to>
      <xdr:col>3</xdr:col>
      <xdr:colOff>1411940</xdr:colOff>
      <xdr:row>38</xdr:row>
      <xdr:rowOff>156882</xdr:rowOff>
    </xdr:to>
    <xdr:graphicFrame macro="">
      <xdr:nvGraphicFramePr>
        <xdr:cNvPr id="4" name="Gráfico 3">
          <a:extLst>
            <a:ext uri="{FF2B5EF4-FFF2-40B4-BE49-F238E27FC236}">
              <a16:creationId xmlns=""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0.36437</cdr:x>
      <cdr:y>0.45463</cdr:y>
    </cdr:from>
    <cdr:to>
      <cdr:x>0.64807</cdr:x>
      <cdr:y>0.61409</cdr:y>
    </cdr:to>
    <cdr:sp macro="" textlink="">
      <cdr:nvSpPr>
        <cdr:cNvPr id="2" name="CuadroTexto 3"/>
        <cdr:cNvSpPr txBox="1"/>
      </cdr:nvSpPr>
      <cdr:spPr>
        <a:xfrm xmlns:a="http://schemas.openxmlformats.org/drawingml/2006/main">
          <a:off x="1831847" y="1512929"/>
          <a:ext cx="1426288" cy="53065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ctr">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s-ES" sz="1200"/>
            <a:t>Total Expot. Sem</a:t>
          </a:r>
          <a:r>
            <a:rPr lang="es-ES" sz="1200" baseline="0"/>
            <a:t> 30</a:t>
          </a:r>
        </a:p>
        <a:p xmlns:a="http://schemas.openxmlformats.org/drawingml/2006/main">
          <a:pPr algn="ctr"/>
          <a:r>
            <a:rPr lang="es-ES" sz="1600" b="1" baseline="0"/>
            <a:t>179.928,22 tn</a:t>
          </a:r>
          <a:endParaRPr lang="es-ES" sz="1600" b="1"/>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238125</xdr:colOff>
      <xdr:row>0</xdr:row>
      <xdr:rowOff>152400</xdr:rowOff>
    </xdr:from>
    <xdr:to>
      <xdr:col>2</xdr:col>
      <xdr:colOff>1600200</xdr:colOff>
      <xdr:row>4</xdr:row>
      <xdr:rowOff>38100</xdr:rowOff>
    </xdr:to>
    <xdr:pic>
      <xdr:nvPicPr>
        <xdr:cNvPr id="2" name="1 Imagen">
          <a:extLst>
            <a:ext uri="{FF2B5EF4-FFF2-40B4-BE49-F238E27FC236}">
              <a16:creationId xmlns=""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bwMode="auto">
        <a:xfrm>
          <a:off x="238125" y="152400"/>
          <a:ext cx="2790825" cy="657225"/>
        </a:xfrm>
        <a:prstGeom prst="rect">
          <a:avLst/>
        </a:prstGeom>
        <a:noFill/>
        <a:ln w="9525">
          <a:noFill/>
          <a:miter lim="800000"/>
          <a:headEnd/>
          <a:tailEnd/>
        </a:ln>
      </xdr:spPr>
    </xdr:pic>
    <xdr:clientData/>
  </xdr:twoCellAnchor>
  <xdr:twoCellAnchor editAs="oneCell">
    <xdr:from>
      <xdr:col>9</xdr:col>
      <xdr:colOff>907677</xdr:colOff>
      <xdr:row>54</xdr:row>
      <xdr:rowOff>78442</xdr:rowOff>
    </xdr:from>
    <xdr:to>
      <xdr:col>16</xdr:col>
      <xdr:colOff>84044</xdr:colOff>
      <xdr:row>79</xdr:row>
      <xdr:rowOff>11206</xdr:rowOff>
    </xdr:to>
    <xdr:sp macro="" textlink="">
      <xdr:nvSpPr>
        <xdr:cNvPr id="3073" name="AutoShape 1">
          <a:extLst>
            <a:ext uri="{FF2B5EF4-FFF2-40B4-BE49-F238E27FC236}">
              <a16:creationId xmlns="" xmlns:a16="http://schemas.microsoft.com/office/drawing/2014/main" id="{00000000-0008-0000-0200-0000010C0000}"/>
            </a:ext>
          </a:extLst>
        </xdr:cNvPr>
        <xdr:cNvSpPr>
          <a:spLocks noChangeAspect="1" noChangeArrowheads="1"/>
        </xdr:cNvSpPr>
      </xdr:nvSpPr>
      <xdr:spPr bwMode="auto">
        <a:xfrm>
          <a:off x="11071412" y="11799795"/>
          <a:ext cx="4695264" cy="469526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xdr:row>
      <xdr:rowOff>0</xdr:rowOff>
    </xdr:from>
    <xdr:to>
      <xdr:col>6</xdr:col>
      <xdr:colOff>304800</xdr:colOff>
      <xdr:row>46</xdr:row>
      <xdr:rowOff>114300</xdr:rowOff>
    </xdr:to>
    <xdr:sp macro="" textlink="">
      <xdr:nvSpPr>
        <xdr:cNvPr id="3074" name="AutoShape 2">
          <a:extLst>
            <a:ext uri="{FF2B5EF4-FFF2-40B4-BE49-F238E27FC236}">
              <a16:creationId xmlns="" xmlns:a16="http://schemas.microsoft.com/office/drawing/2014/main" id="{00000000-0008-0000-0200-0000020C0000}"/>
            </a:ext>
          </a:extLst>
        </xdr:cNvPr>
        <xdr:cNvSpPr>
          <a:spLocks noChangeAspect="1" noChangeArrowheads="1"/>
        </xdr:cNvSpPr>
      </xdr:nvSpPr>
      <xdr:spPr bwMode="auto">
        <a:xfrm>
          <a:off x="6686550" y="997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44</xdr:row>
      <xdr:rowOff>0</xdr:rowOff>
    </xdr:from>
    <xdr:to>
      <xdr:col>1</xdr:col>
      <xdr:colOff>304800</xdr:colOff>
      <xdr:row>45</xdr:row>
      <xdr:rowOff>114300</xdr:rowOff>
    </xdr:to>
    <xdr:sp macro="" textlink="">
      <xdr:nvSpPr>
        <xdr:cNvPr id="3075" name="AutoShape 3">
          <a:extLst>
            <a:ext uri="{FF2B5EF4-FFF2-40B4-BE49-F238E27FC236}">
              <a16:creationId xmlns="" xmlns:a16="http://schemas.microsoft.com/office/drawing/2014/main" id="{00000000-0008-0000-0200-0000030C0000}"/>
            </a:ext>
          </a:extLst>
        </xdr:cNvPr>
        <xdr:cNvSpPr>
          <a:spLocks noChangeAspect="1" noChangeArrowheads="1"/>
        </xdr:cNvSpPr>
      </xdr:nvSpPr>
      <xdr:spPr bwMode="auto">
        <a:xfrm>
          <a:off x="333375" y="9210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19050</xdr:colOff>
      <xdr:row>0</xdr:row>
      <xdr:rowOff>19051</xdr:rowOff>
    </xdr:from>
    <xdr:to>
      <xdr:col>14</xdr:col>
      <xdr:colOff>735965</xdr:colOff>
      <xdr:row>3</xdr:row>
      <xdr:rowOff>1</xdr:rowOff>
    </xdr:to>
    <xdr:pic>
      <xdr:nvPicPr>
        <xdr:cNvPr id="2" name="1 Imagen">
          <a:extLst>
            <a:ext uri="{FF2B5EF4-FFF2-40B4-BE49-F238E27FC236}">
              <a16:creationId xmlns="" xmlns:a16="http://schemas.microsoft.com/office/drawing/2014/main" id="{00000000-0008-0000-0300-000002000000}"/>
            </a:ext>
          </a:extLst>
        </xdr:cNvPr>
        <xdr:cNvPicPr/>
      </xdr:nvPicPr>
      <xdr:blipFill>
        <a:blip xmlns:r="http://schemas.openxmlformats.org/officeDocument/2006/relationships" r:embed="rId1"/>
        <a:srcRect/>
        <a:stretch>
          <a:fillRect/>
        </a:stretch>
      </xdr:blipFill>
      <xdr:spPr bwMode="auto">
        <a:xfrm>
          <a:off x="10239375" y="19051"/>
          <a:ext cx="2240915" cy="590550"/>
        </a:xfrm>
        <a:prstGeom prst="rect">
          <a:avLst/>
        </a:prstGeom>
        <a:noFill/>
        <a:ln w="9525">
          <a:noFill/>
          <a:miter lim="800000"/>
          <a:headEnd/>
          <a:tailEnd/>
        </a:ln>
      </xdr:spPr>
    </xdr:pic>
    <xdr:clientData/>
  </xdr:twoCellAnchor>
  <xdr:twoCellAnchor>
    <xdr:from>
      <xdr:col>7</xdr:col>
      <xdr:colOff>14287</xdr:colOff>
      <xdr:row>2</xdr:row>
      <xdr:rowOff>204787</xdr:rowOff>
    </xdr:from>
    <xdr:to>
      <xdr:col>13</xdr:col>
      <xdr:colOff>57151</xdr:colOff>
      <xdr:row>15</xdr:row>
      <xdr:rowOff>66675</xdr:rowOff>
    </xdr:to>
    <xdr:graphicFrame macro="">
      <xdr:nvGraphicFramePr>
        <xdr:cNvPr id="10" name="Gráfico 9">
          <a:extLst>
            <a:ext uri="{FF2B5EF4-FFF2-40B4-BE49-F238E27FC236}">
              <a16:creationId xmlns=""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18</xdr:row>
      <xdr:rowOff>0</xdr:rowOff>
    </xdr:from>
    <xdr:to>
      <xdr:col>0</xdr:col>
      <xdr:colOff>304800</xdr:colOff>
      <xdr:row>19</xdr:row>
      <xdr:rowOff>114300</xdr:rowOff>
    </xdr:to>
    <xdr:sp macro="" textlink="">
      <xdr:nvSpPr>
        <xdr:cNvPr id="4098" name="AutoShape 2">
          <a:extLst>
            <a:ext uri="{FF2B5EF4-FFF2-40B4-BE49-F238E27FC236}">
              <a16:creationId xmlns="" xmlns:a16="http://schemas.microsoft.com/office/drawing/2014/main" id="{00000000-0008-0000-0300-000002100000}"/>
            </a:ext>
          </a:extLst>
        </xdr:cNvPr>
        <xdr:cNvSpPr>
          <a:spLocks noChangeAspect="1" noChangeArrowheads="1"/>
        </xdr:cNvSpPr>
      </xdr:nvSpPr>
      <xdr:spPr bwMode="auto">
        <a:xfrm>
          <a:off x="438150" y="373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19</xdr:row>
      <xdr:rowOff>114300</xdr:rowOff>
    </xdr:to>
    <xdr:sp macro="" textlink="">
      <xdr:nvSpPr>
        <xdr:cNvPr id="4099" name="AutoShape 3">
          <a:extLst>
            <a:ext uri="{FF2B5EF4-FFF2-40B4-BE49-F238E27FC236}">
              <a16:creationId xmlns="" xmlns:a16="http://schemas.microsoft.com/office/drawing/2014/main" id="{00000000-0008-0000-0300-000003100000}"/>
            </a:ext>
          </a:extLst>
        </xdr:cNvPr>
        <xdr:cNvSpPr>
          <a:spLocks noChangeAspect="1" noChangeArrowheads="1"/>
        </xdr:cNvSpPr>
      </xdr:nvSpPr>
      <xdr:spPr bwMode="auto">
        <a:xfrm>
          <a:off x="438150" y="373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17</xdr:row>
      <xdr:rowOff>190499</xdr:rowOff>
    </xdr:from>
    <xdr:to>
      <xdr:col>4</xdr:col>
      <xdr:colOff>605118</xdr:colOff>
      <xdr:row>39</xdr:row>
      <xdr:rowOff>123264</xdr:rowOff>
    </xdr:to>
    <xdr:sp macro="" textlink="">
      <xdr:nvSpPr>
        <xdr:cNvPr id="4100" name="AutoShape 4">
          <a:extLst>
            <a:ext uri="{FF2B5EF4-FFF2-40B4-BE49-F238E27FC236}">
              <a16:creationId xmlns="" xmlns:a16="http://schemas.microsoft.com/office/drawing/2014/main" id="{00000000-0008-0000-0300-000004100000}"/>
            </a:ext>
          </a:extLst>
        </xdr:cNvPr>
        <xdr:cNvSpPr>
          <a:spLocks noChangeAspect="1" noChangeArrowheads="1"/>
        </xdr:cNvSpPr>
      </xdr:nvSpPr>
      <xdr:spPr bwMode="auto">
        <a:xfrm>
          <a:off x="437028" y="3765175"/>
          <a:ext cx="4123765" cy="41237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333375</xdr:colOff>
      <xdr:row>12</xdr:row>
      <xdr:rowOff>4762</xdr:rowOff>
    </xdr:from>
    <xdr:to>
      <xdr:col>9</xdr:col>
      <xdr:colOff>333375</xdr:colOff>
      <xdr:row>26</xdr:row>
      <xdr:rowOff>80962</xdr:rowOff>
    </xdr:to>
    <xdr:graphicFrame macro="">
      <xdr:nvGraphicFramePr>
        <xdr:cNvPr id="2" name="Gráfico 3">
          <a:extLst>
            <a:ext uri="{FF2B5EF4-FFF2-40B4-BE49-F238E27FC236}">
              <a16:creationId xmlns="" xmlns:a16="http://schemas.microsoft.com/office/drawing/2014/main" id="{9A475A2A-F7E4-412C-A92C-2B0AF9BA99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4:M77"/>
  <sheetViews>
    <sheetView showGridLines="0" zoomScale="80" zoomScaleNormal="80" workbookViewId="0">
      <selection activeCell="C17" sqref="C17"/>
    </sheetView>
  </sheetViews>
  <sheetFormatPr baseColWidth="10" defaultRowHeight="18.75" x14ac:dyDescent="0.3"/>
  <cols>
    <col min="1" max="1" width="3.28515625" customWidth="1"/>
    <col min="2" max="2" width="34.85546875" style="5" customWidth="1"/>
    <col min="3" max="3" width="19.42578125" style="5" customWidth="1"/>
    <col min="4" max="5" width="16.85546875" style="5" customWidth="1"/>
    <col min="6" max="6" width="18.28515625" style="5" customWidth="1"/>
    <col min="7" max="7" width="18.85546875" style="5" customWidth="1"/>
    <col min="8" max="8" width="15.28515625" style="5" bestFit="1" customWidth="1"/>
    <col min="9" max="9" width="21.5703125" style="5" customWidth="1"/>
    <col min="10" max="12" width="15" style="5" bestFit="1" customWidth="1"/>
    <col min="13" max="13" width="11.42578125" style="5"/>
  </cols>
  <sheetData>
    <row r="4" spans="2:10" ht="19.5" thickBot="1" x14ac:dyDescent="0.35"/>
    <row r="5" spans="2:10" ht="19.5" thickBot="1" x14ac:dyDescent="0.35">
      <c r="B5" s="1"/>
      <c r="C5" s="223" t="s">
        <v>55</v>
      </c>
      <c r="D5" s="224"/>
      <c r="E5" s="224"/>
      <c r="F5" s="224"/>
      <c r="G5" s="225"/>
      <c r="H5" s="10"/>
      <c r="I5" s="11"/>
    </row>
    <row r="6" spans="2:10" ht="7.5" customHeight="1" x14ac:dyDescent="0.3">
      <c r="B6" s="12"/>
      <c r="C6" s="12"/>
      <c r="D6" s="12"/>
      <c r="E6" s="12"/>
      <c r="F6" s="13"/>
      <c r="G6" s="12"/>
      <c r="H6" s="12"/>
      <c r="I6" s="12"/>
    </row>
    <row r="7" spans="2:10" x14ac:dyDescent="0.3">
      <c r="B7" s="14"/>
      <c r="C7" s="219" t="s">
        <v>0</v>
      </c>
      <c r="D7" s="220"/>
      <c r="E7" s="220"/>
      <c r="F7" s="221"/>
      <c r="G7" s="222" t="s">
        <v>44</v>
      </c>
    </row>
    <row r="8" spans="2:10" ht="19.5" thickBot="1" x14ac:dyDescent="0.35">
      <c r="B8" s="15"/>
      <c r="C8" s="219"/>
      <c r="D8" s="220"/>
      <c r="E8" s="220"/>
      <c r="F8" s="221"/>
      <c r="G8" s="222"/>
    </row>
    <row r="9" spans="2:10" x14ac:dyDescent="0.3">
      <c r="B9" s="7" t="s">
        <v>1</v>
      </c>
      <c r="C9" s="6" t="s">
        <v>2</v>
      </c>
      <c r="D9" s="6" t="s">
        <v>3</v>
      </c>
      <c r="E9" s="6" t="s">
        <v>5</v>
      </c>
      <c r="F9" s="6" t="s">
        <v>4</v>
      </c>
      <c r="G9" s="48" t="s">
        <v>6</v>
      </c>
    </row>
    <row r="10" spans="2:10" x14ac:dyDescent="0.3">
      <c r="B10" s="16" t="s">
        <v>7</v>
      </c>
      <c r="C10" s="46">
        <v>34.020000000000003</v>
      </c>
      <c r="D10" s="46">
        <v>0</v>
      </c>
      <c r="E10" s="46">
        <v>20.8</v>
      </c>
      <c r="F10" s="46">
        <v>3068.8</v>
      </c>
      <c r="G10" s="49">
        <f t="shared" ref="G10:G16" si="0">SUM(C10:F10)</f>
        <v>3123.6200000000003</v>
      </c>
    </row>
    <row r="11" spans="2:10" x14ac:dyDescent="0.3">
      <c r="B11" s="17" t="s">
        <v>8</v>
      </c>
      <c r="C11" s="18">
        <v>20.004000000000001</v>
      </c>
      <c r="D11" s="18">
        <v>0</v>
      </c>
      <c r="E11" s="18">
        <v>8</v>
      </c>
      <c r="F11" s="18">
        <v>1865.56</v>
      </c>
      <c r="G11" s="50">
        <f t="shared" si="0"/>
        <v>1893.5639999999999</v>
      </c>
      <c r="J11" s="19"/>
    </row>
    <row r="12" spans="2:10" x14ac:dyDescent="0.3">
      <c r="B12" s="16" t="s">
        <v>9</v>
      </c>
      <c r="C12" s="46">
        <v>1737.15</v>
      </c>
      <c r="D12" s="46">
        <v>13.62</v>
      </c>
      <c r="E12" s="46">
        <v>301.16000000000003</v>
      </c>
      <c r="F12" s="46">
        <v>3029.48</v>
      </c>
      <c r="G12" s="49">
        <f t="shared" si="0"/>
        <v>5081.41</v>
      </c>
      <c r="J12" s="19"/>
    </row>
    <row r="13" spans="2:10" x14ac:dyDescent="0.3">
      <c r="B13" s="17" t="s">
        <v>10</v>
      </c>
      <c r="C13" s="18">
        <v>13022.53</v>
      </c>
      <c r="D13" s="18">
        <v>0</v>
      </c>
      <c r="E13" s="18">
        <v>1613.27</v>
      </c>
      <c r="F13" s="18">
        <v>1406</v>
      </c>
      <c r="G13" s="50">
        <f t="shared" si="0"/>
        <v>16041.800000000001</v>
      </c>
    </row>
    <row r="14" spans="2:10" x14ac:dyDescent="0.3">
      <c r="B14" s="16" t="s">
        <v>11</v>
      </c>
      <c r="C14" s="46">
        <v>29170.76</v>
      </c>
      <c r="D14" s="46">
        <v>80.174999999999997</v>
      </c>
      <c r="E14" s="46">
        <v>7167.3</v>
      </c>
      <c r="F14" s="46">
        <v>2087.0500000000002</v>
      </c>
      <c r="G14" s="49">
        <f t="shared" si="0"/>
        <v>38505.285000000003</v>
      </c>
    </row>
    <row r="15" spans="2:10" x14ac:dyDescent="0.3">
      <c r="B15" s="17" t="s">
        <v>43</v>
      </c>
      <c r="C15" s="18">
        <v>71002.67</v>
      </c>
      <c r="D15" s="18">
        <v>201.5</v>
      </c>
      <c r="E15" s="18">
        <v>11253.2</v>
      </c>
      <c r="F15" s="18">
        <v>5239.8500000000004</v>
      </c>
      <c r="G15" s="50">
        <f t="shared" si="0"/>
        <v>87697.22</v>
      </c>
    </row>
    <row r="16" spans="2:10" ht="19.5" thickBot="1" x14ac:dyDescent="0.35">
      <c r="B16" s="16" t="s">
        <v>56</v>
      </c>
      <c r="C16" s="46">
        <v>64941.1</v>
      </c>
      <c r="D16" s="46">
        <v>106.68</v>
      </c>
      <c r="E16" s="46">
        <v>7648.93</v>
      </c>
      <c r="F16" s="46">
        <v>10466.617</v>
      </c>
      <c r="G16" s="49">
        <f t="shared" si="0"/>
        <v>83163.32699999999</v>
      </c>
    </row>
    <row r="17" spans="2:13" ht="19.5" thickBot="1" x14ac:dyDescent="0.35">
      <c r="B17" s="62" t="s">
        <v>57</v>
      </c>
      <c r="C17" s="47">
        <f>SUM(C10:C16)</f>
        <v>179928.234</v>
      </c>
      <c r="D17" s="47">
        <f>SUM(D10:D16)</f>
        <v>401.97500000000002</v>
      </c>
      <c r="E17" s="47">
        <f>SUM(E10:E16)</f>
        <v>28012.660000000003</v>
      </c>
      <c r="F17" s="47">
        <f>SUM(F10:F16)</f>
        <v>27163.356999999996</v>
      </c>
      <c r="G17" s="52">
        <f>SUM(G10:G16)</f>
        <v>235506.226</v>
      </c>
    </row>
    <row r="18" spans="2:13" x14ac:dyDescent="0.3">
      <c r="B18" s="16" t="s">
        <v>12</v>
      </c>
      <c r="C18" s="20">
        <f>C17/G17</f>
        <v>0.76400627302311741</v>
      </c>
      <c r="D18" s="20">
        <f>D17/G17</f>
        <v>1.7068550875593412E-3</v>
      </c>
      <c r="E18" s="20">
        <f>E17/G17</f>
        <v>0.11894657935709947</v>
      </c>
      <c r="F18" s="20">
        <f>F17/G17</f>
        <v>0.11534029253222375</v>
      </c>
      <c r="G18" s="51">
        <f>SUM(C18:F18)</f>
        <v>1</v>
      </c>
    </row>
    <row r="20" spans="2:13" ht="15" x14ac:dyDescent="0.25">
      <c r="B20"/>
      <c r="C20"/>
      <c r="D20"/>
      <c r="E20"/>
      <c r="F20"/>
      <c r="G20"/>
      <c r="H20"/>
      <c r="I20"/>
      <c r="J20"/>
      <c r="K20"/>
      <c r="L20"/>
      <c r="M20"/>
    </row>
    <row r="21" spans="2:13" x14ac:dyDescent="0.3">
      <c r="C21"/>
      <c r="D21"/>
      <c r="E21"/>
      <c r="F21"/>
      <c r="G21"/>
      <c r="H21"/>
      <c r="I21"/>
      <c r="J21"/>
      <c r="K21"/>
      <c r="L21"/>
      <c r="M21"/>
    </row>
    <row r="22" spans="2:13" ht="18" x14ac:dyDescent="0.25">
      <c r="B22"/>
      <c r="C22"/>
      <c r="D22"/>
      <c r="E22" s="8"/>
      <c r="F22" s="9"/>
      <c r="G22"/>
      <c r="H22"/>
      <c r="I22"/>
      <c r="J22"/>
      <c r="K22"/>
      <c r="L22"/>
      <c r="M22"/>
    </row>
    <row r="23" spans="2:13" ht="15" x14ac:dyDescent="0.25">
      <c r="B23"/>
      <c r="C23"/>
      <c r="D23"/>
      <c r="E23"/>
      <c r="F23"/>
      <c r="G23"/>
      <c r="H23"/>
      <c r="I23"/>
      <c r="J23"/>
      <c r="K23"/>
      <c r="L23"/>
      <c r="M23"/>
    </row>
    <row r="24" spans="2:13" ht="15" x14ac:dyDescent="0.25">
      <c r="B24" s="2"/>
      <c r="C24" s="2"/>
      <c r="D24"/>
      <c r="E24"/>
      <c r="F24"/>
      <c r="G24"/>
      <c r="H24"/>
      <c r="I24"/>
      <c r="J24"/>
      <c r="K24"/>
      <c r="L24"/>
      <c r="M24"/>
    </row>
    <row r="25" spans="2:13" ht="15" customHeight="1" x14ac:dyDescent="0.25">
      <c r="B25" s="2"/>
      <c r="C25" s="2"/>
      <c r="D25"/>
      <c r="E25"/>
      <c r="F25"/>
      <c r="G25"/>
      <c r="H25"/>
      <c r="I25"/>
      <c r="J25"/>
      <c r="K25"/>
      <c r="L25"/>
      <c r="M25"/>
    </row>
    <row r="26" spans="2:13" ht="15" x14ac:dyDescent="0.25">
      <c r="B26" s="2"/>
      <c r="C26" s="2"/>
      <c r="D26"/>
      <c r="E26"/>
      <c r="F26"/>
      <c r="G26"/>
      <c r="H26"/>
      <c r="I26"/>
      <c r="J26"/>
      <c r="K26"/>
      <c r="L26"/>
      <c r="M26"/>
    </row>
    <row r="27" spans="2:13" ht="15" x14ac:dyDescent="0.25">
      <c r="B27" s="3"/>
      <c r="C27" s="2"/>
      <c r="D27"/>
      <c r="E27"/>
      <c r="F27"/>
      <c r="G27"/>
      <c r="H27"/>
      <c r="I27"/>
      <c r="J27"/>
      <c r="K27"/>
      <c r="L27"/>
      <c r="M27"/>
    </row>
    <row r="28" spans="2:13" ht="15" x14ac:dyDescent="0.25">
      <c r="B28" s="2"/>
      <c r="C28" s="2"/>
      <c r="D28"/>
      <c r="E28"/>
      <c r="F28"/>
      <c r="G28"/>
      <c r="H28"/>
      <c r="I28"/>
      <c r="J28"/>
      <c r="K28"/>
      <c r="L28"/>
      <c r="M28"/>
    </row>
    <row r="29" spans="2:13" ht="15" x14ac:dyDescent="0.25">
      <c r="B29" s="2"/>
      <c r="C29" s="2"/>
      <c r="D29"/>
      <c r="E29"/>
      <c r="F29"/>
      <c r="G29"/>
      <c r="H29"/>
      <c r="I29"/>
      <c r="J29"/>
      <c r="K29"/>
      <c r="L29"/>
      <c r="M29"/>
    </row>
    <row r="30" spans="2:13" ht="15" x14ac:dyDescent="0.25">
      <c r="B30" s="2"/>
      <c r="C30" s="4"/>
      <c r="D30"/>
      <c r="E30"/>
      <c r="F30"/>
      <c r="G30"/>
      <c r="H30"/>
      <c r="I30"/>
      <c r="J30"/>
      <c r="K30"/>
      <c r="L30"/>
      <c r="M30"/>
    </row>
    <row r="31" spans="2:13" ht="15" x14ac:dyDescent="0.25">
      <c r="B31" s="4"/>
      <c r="C31" s="2"/>
      <c r="D31"/>
      <c r="E31"/>
      <c r="F31"/>
      <c r="G31"/>
      <c r="H31"/>
      <c r="I31"/>
      <c r="J31"/>
      <c r="K31"/>
      <c r="L31"/>
      <c r="M31"/>
    </row>
    <row r="32" spans="2:13" ht="15" x14ac:dyDescent="0.25">
      <c r="B32" s="2"/>
      <c r="C32" s="2"/>
      <c r="D32"/>
      <c r="E32"/>
      <c r="F32"/>
      <c r="G32"/>
      <c r="H32"/>
      <c r="I32"/>
      <c r="J32"/>
      <c r="K32"/>
      <c r="L32"/>
      <c r="M32"/>
    </row>
    <row r="33" spans="2:13" ht="15" x14ac:dyDescent="0.25">
      <c r="B33" s="2"/>
      <c r="C33" s="2"/>
      <c r="D33"/>
      <c r="E33"/>
      <c r="F33"/>
      <c r="G33"/>
      <c r="H33"/>
      <c r="I33"/>
      <c r="J33"/>
      <c r="K33"/>
      <c r="L33"/>
      <c r="M33"/>
    </row>
    <row r="34" spans="2:13" ht="15" x14ac:dyDescent="0.25">
      <c r="B34" s="2"/>
      <c r="C34" s="2"/>
      <c r="D34"/>
      <c r="E34"/>
      <c r="F34"/>
      <c r="G34"/>
      <c r="H34"/>
      <c r="I34"/>
      <c r="J34"/>
      <c r="K34"/>
      <c r="L34"/>
      <c r="M34"/>
    </row>
    <row r="35" spans="2:13" ht="15" x14ac:dyDescent="0.25">
      <c r="B35" t="s">
        <v>48</v>
      </c>
      <c r="C35"/>
      <c r="D35"/>
      <c r="E35"/>
      <c r="F35"/>
      <c r="G35"/>
      <c r="H35"/>
      <c r="I35"/>
      <c r="J35"/>
      <c r="K35"/>
      <c r="L35"/>
      <c r="M35"/>
    </row>
    <row r="36" spans="2:13" ht="15" x14ac:dyDescent="0.25">
      <c r="B36"/>
      <c r="C36"/>
      <c r="D36"/>
      <c r="E36"/>
      <c r="F36"/>
      <c r="G36"/>
      <c r="H36"/>
      <c r="I36"/>
      <c r="J36"/>
      <c r="K36"/>
      <c r="L36"/>
      <c r="M36"/>
    </row>
    <row r="37" spans="2:13" x14ac:dyDescent="0.3">
      <c r="C37"/>
      <c r="D37"/>
      <c r="E37"/>
      <c r="F37"/>
      <c r="G37"/>
      <c r="H37"/>
      <c r="I37"/>
      <c r="J37"/>
      <c r="K37"/>
      <c r="L37"/>
      <c r="M37"/>
    </row>
    <row r="38" spans="2:13" ht="15" x14ac:dyDescent="0.25">
      <c r="B38"/>
      <c r="C38"/>
      <c r="D38"/>
      <c r="E38"/>
      <c r="F38"/>
      <c r="G38"/>
      <c r="H38"/>
      <c r="I38"/>
      <c r="J38"/>
      <c r="K38"/>
      <c r="L38"/>
      <c r="M38"/>
    </row>
    <row r="39" spans="2:13" ht="15" x14ac:dyDescent="0.25">
      <c r="B39"/>
      <c r="C39"/>
      <c r="D39"/>
      <c r="E39"/>
      <c r="F39"/>
      <c r="G39"/>
      <c r="H39"/>
      <c r="I39"/>
      <c r="J39"/>
      <c r="K39"/>
      <c r="L39"/>
      <c r="M39"/>
    </row>
    <row r="40" spans="2:13" ht="15" x14ac:dyDescent="0.25">
      <c r="B40"/>
      <c r="C40"/>
      <c r="D40"/>
      <c r="E40"/>
      <c r="F40"/>
      <c r="G40"/>
      <c r="H40"/>
      <c r="I40"/>
      <c r="J40"/>
      <c r="K40"/>
      <c r="L40"/>
      <c r="M40"/>
    </row>
    <row r="41" spans="2:13" ht="15" x14ac:dyDescent="0.25">
      <c r="B41"/>
      <c r="C41"/>
      <c r="D41"/>
      <c r="E41"/>
      <c r="F41"/>
      <c r="G41"/>
      <c r="H41"/>
      <c r="I41"/>
      <c r="J41"/>
      <c r="K41"/>
      <c r="L41"/>
      <c r="M41"/>
    </row>
    <row r="42" spans="2:13" ht="15" x14ac:dyDescent="0.25">
      <c r="B42"/>
      <c r="C42"/>
      <c r="D42"/>
      <c r="E42"/>
      <c r="F42"/>
      <c r="G42"/>
      <c r="H42"/>
      <c r="I42"/>
      <c r="J42"/>
      <c r="K42"/>
      <c r="L42"/>
      <c r="M42"/>
    </row>
    <row r="43" spans="2:13" ht="15" x14ac:dyDescent="0.25">
      <c r="B43"/>
      <c r="C43"/>
      <c r="D43"/>
      <c r="E43"/>
      <c r="F43"/>
      <c r="G43"/>
      <c r="H43"/>
      <c r="I43"/>
      <c r="J43"/>
      <c r="K43"/>
      <c r="L43"/>
      <c r="M43"/>
    </row>
    <row r="44" spans="2:13" ht="15" x14ac:dyDescent="0.25">
      <c r="B44"/>
      <c r="C44"/>
      <c r="D44"/>
      <c r="E44"/>
      <c r="F44"/>
      <c r="G44"/>
      <c r="H44"/>
      <c r="I44"/>
      <c r="J44"/>
      <c r="K44"/>
      <c r="L44"/>
      <c r="M44"/>
    </row>
    <row r="45" spans="2:13" ht="15" x14ac:dyDescent="0.25">
      <c r="B45"/>
      <c r="C45"/>
      <c r="D45"/>
      <c r="E45"/>
      <c r="F45"/>
      <c r="G45"/>
      <c r="H45"/>
      <c r="I45"/>
      <c r="J45"/>
      <c r="K45"/>
      <c r="L45"/>
      <c r="M45"/>
    </row>
    <row r="46" spans="2:13" ht="15" x14ac:dyDescent="0.25">
      <c r="B46"/>
      <c r="C46"/>
      <c r="D46"/>
      <c r="E46"/>
      <c r="F46"/>
      <c r="G46"/>
      <c r="H46"/>
      <c r="I46"/>
      <c r="J46"/>
      <c r="K46"/>
      <c r="L46"/>
      <c r="M46"/>
    </row>
    <row r="47" spans="2:13" ht="15" x14ac:dyDescent="0.25">
      <c r="B47"/>
      <c r="C47"/>
      <c r="D47"/>
      <c r="E47"/>
      <c r="F47"/>
      <c r="G47"/>
      <c r="H47"/>
      <c r="I47"/>
      <c r="J47"/>
      <c r="K47"/>
      <c r="L47"/>
      <c r="M47"/>
    </row>
    <row r="48" spans="2:13" ht="15" x14ac:dyDescent="0.25">
      <c r="B48"/>
      <c r="C48"/>
      <c r="D48"/>
      <c r="E48"/>
      <c r="F48"/>
      <c r="G48"/>
      <c r="H48"/>
      <c r="I48"/>
      <c r="J48"/>
      <c r="K48"/>
      <c r="L48"/>
      <c r="M48"/>
    </row>
    <row r="49" customFormat="1" ht="15" x14ac:dyDescent="0.25"/>
    <row r="50" customFormat="1" ht="15" x14ac:dyDescent="0.25"/>
    <row r="51" customFormat="1" ht="15" x14ac:dyDescent="0.25"/>
    <row r="52" customFormat="1" ht="18.75" customHeight="1" x14ac:dyDescent="0.25"/>
    <row r="53" customFormat="1" ht="15" x14ac:dyDescent="0.25"/>
    <row r="54" customFormat="1" ht="15" x14ac:dyDescent="0.25"/>
    <row r="55" customFormat="1" ht="15" x14ac:dyDescent="0.25"/>
    <row r="56" customFormat="1" ht="15" x14ac:dyDescent="0.25"/>
    <row r="57" customFormat="1" ht="15" x14ac:dyDescent="0.25"/>
    <row r="58" customFormat="1" ht="15" x14ac:dyDescent="0.25"/>
    <row r="59" customFormat="1" ht="15" x14ac:dyDescent="0.25"/>
    <row r="60" customFormat="1" ht="15" x14ac:dyDescent="0.25"/>
    <row r="61" customFormat="1" ht="15" x14ac:dyDescent="0.25"/>
    <row r="62" customFormat="1" ht="15" x14ac:dyDescent="0.25"/>
    <row r="63" customFormat="1" ht="15" x14ac:dyDescent="0.25"/>
    <row r="64" customFormat="1" ht="15" x14ac:dyDescent="0.25"/>
    <row r="65" spans="2:13" ht="15" x14ac:dyDescent="0.25">
      <c r="B65"/>
      <c r="C65"/>
      <c r="D65"/>
      <c r="E65"/>
      <c r="F65"/>
      <c r="G65"/>
      <c r="H65"/>
      <c r="I65"/>
      <c r="J65"/>
      <c r="K65"/>
      <c r="L65"/>
      <c r="M65"/>
    </row>
    <row r="66" spans="2:13" ht="15" x14ac:dyDescent="0.25">
      <c r="B66"/>
      <c r="C66"/>
      <c r="D66"/>
      <c r="E66"/>
      <c r="F66"/>
      <c r="G66"/>
      <c r="H66"/>
      <c r="I66"/>
      <c r="J66"/>
      <c r="K66"/>
      <c r="L66"/>
      <c r="M66"/>
    </row>
    <row r="67" spans="2:13" x14ac:dyDescent="0.3">
      <c r="J67"/>
      <c r="K67"/>
      <c r="L67"/>
      <c r="M67"/>
    </row>
    <row r="68" spans="2:13" x14ac:dyDescent="0.3">
      <c r="J68"/>
      <c r="K68"/>
      <c r="L68"/>
      <c r="M68"/>
    </row>
    <row r="69" spans="2:13" x14ac:dyDescent="0.3">
      <c r="J69"/>
      <c r="K69"/>
      <c r="L69"/>
      <c r="M69"/>
    </row>
    <row r="70" spans="2:13" x14ac:dyDescent="0.3">
      <c r="J70"/>
      <c r="K70"/>
      <c r="L70"/>
      <c r="M70"/>
    </row>
    <row r="71" spans="2:13" x14ac:dyDescent="0.3">
      <c r="J71"/>
      <c r="K71"/>
      <c r="L71"/>
      <c r="M71"/>
    </row>
    <row r="72" spans="2:13" x14ac:dyDescent="0.3">
      <c r="J72"/>
      <c r="K72"/>
      <c r="L72"/>
      <c r="M72"/>
    </row>
    <row r="73" spans="2:13" x14ac:dyDescent="0.3">
      <c r="J73"/>
      <c r="K73"/>
      <c r="L73"/>
      <c r="M73"/>
    </row>
    <row r="74" spans="2:13" x14ac:dyDescent="0.3">
      <c r="J74"/>
      <c r="K74"/>
      <c r="L74"/>
      <c r="M74"/>
    </row>
    <row r="75" spans="2:13" x14ac:dyDescent="0.3">
      <c r="J75"/>
      <c r="K75"/>
      <c r="L75"/>
      <c r="M75"/>
    </row>
    <row r="76" spans="2:13" x14ac:dyDescent="0.3">
      <c r="J76"/>
      <c r="K76"/>
      <c r="L76"/>
      <c r="M76"/>
    </row>
    <row r="77" spans="2:13" x14ac:dyDescent="0.3">
      <c r="J77"/>
      <c r="K77"/>
      <c r="L77"/>
      <c r="M77"/>
    </row>
  </sheetData>
  <mergeCells count="3">
    <mergeCell ref="C7:F8"/>
    <mergeCell ref="G7:G8"/>
    <mergeCell ref="C5:G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O26"/>
  <sheetViews>
    <sheetView showGridLines="0" topLeftCell="A5" zoomScale="70" zoomScaleNormal="70" workbookViewId="0">
      <selection activeCell="F22" sqref="F22"/>
    </sheetView>
  </sheetViews>
  <sheetFormatPr baseColWidth="10" defaultRowHeight="21" x14ac:dyDescent="0.35"/>
  <cols>
    <col min="1" max="1" width="7.28515625" customWidth="1"/>
    <col min="2" max="2" width="29" style="132" customWidth="1"/>
    <col min="3" max="3" width="27.42578125" style="132" bestFit="1" customWidth="1"/>
    <col min="4" max="4" width="30.7109375" style="132" customWidth="1"/>
    <col min="5" max="5" width="19.28515625" style="132" customWidth="1"/>
    <col min="6" max="6" width="27.85546875" style="132" customWidth="1"/>
    <col min="7" max="7" width="21.7109375" style="132" customWidth="1"/>
    <col min="8" max="10" width="11.42578125" style="132"/>
    <col min="11" max="11" width="21.7109375" style="132" customWidth="1"/>
    <col min="12" max="12" width="20.7109375" style="132" customWidth="1"/>
    <col min="13" max="13" width="23.42578125" style="132" customWidth="1"/>
    <col min="14" max="14" width="11.42578125" style="132"/>
    <col min="15" max="15" width="11.42578125" style="23"/>
  </cols>
  <sheetData>
    <row r="2" spans="2:13" x14ac:dyDescent="0.35">
      <c r="B2" s="129"/>
      <c r="C2" s="129"/>
      <c r="D2" s="129"/>
      <c r="E2" s="129"/>
      <c r="F2" s="129"/>
      <c r="G2" s="129"/>
      <c r="H2" s="130" t="s">
        <v>105</v>
      </c>
      <c r="I2" s="131">
        <v>30</v>
      </c>
      <c r="J2" s="226" t="s">
        <v>59</v>
      </c>
      <c r="K2" s="226"/>
    </row>
    <row r="3" spans="2:13" x14ac:dyDescent="0.35">
      <c r="B3" s="133"/>
      <c r="C3" s="133"/>
      <c r="D3" s="133"/>
      <c r="E3" s="133"/>
      <c r="F3" s="133"/>
      <c r="G3" s="133"/>
      <c r="H3" s="134" t="s">
        <v>24</v>
      </c>
      <c r="I3" s="133"/>
      <c r="J3" s="133"/>
      <c r="K3" s="133"/>
    </row>
    <row r="5" spans="2:13" ht="17.25" customHeight="1" x14ac:dyDescent="0.35">
      <c r="B5" s="135"/>
      <c r="C5" s="136"/>
      <c r="D5" s="232" t="s">
        <v>60</v>
      </c>
      <c r="E5" s="233"/>
      <c r="F5" s="233"/>
      <c r="G5" s="234"/>
      <c r="H5" s="227" t="s">
        <v>25</v>
      </c>
      <c r="I5" s="227"/>
      <c r="J5" s="227"/>
      <c r="K5" s="229" t="s">
        <v>40</v>
      </c>
      <c r="L5" s="227"/>
      <c r="M5" s="227"/>
    </row>
    <row r="6" spans="2:13" ht="21.75" thickBot="1" x14ac:dyDescent="0.4">
      <c r="B6" s="137"/>
      <c r="C6" s="138"/>
      <c r="D6" s="235"/>
      <c r="E6" s="236"/>
      <c r="F6" s="236"/>
      <c r="G6" s="237"/>
      <c r="H6" s="228"/>
      <c r="I6" s="228"/>
      <c r="J6" s="228"/>
      <c r="K6" s="230"/>
      <c r="L6" s="228"/>
      <c r="M6" s="228"/>
    </row>
    <row r="7" spans="2:13" x14ac:dyDescent="0.35">
      <c r="B7" s="139" t="s">
        <v>13</v>
      </c>
      <c r="C7" s="140" t="s">
        <v>53</v>
      </c>
      <c r="D7" s="141" t="s">
        <v>61</v>
      </c>
      <c r="E7" s="140">
        <v>2020</v>
      </c>
      <c r="F7" s="140">
        <v>2019</v>
      </c>
      <c r="G7" s="142">
        <v>2018</v>
      </c>
      <c r="H7" s="143">
        <v>2020</v>
      </c>
      <c r="I7" s="144">
        <v>2019</v>
      </c>
      <c r="J7" s="145">
        <v>2018</v>
      </c>
      <c r="K7" s="143">
        <v>2020</v>
      </c>
      <c r="L7" s="144">
        <v>2019</v>
      </c>
      <c r="M7" s="145">
        <v>2018</v>
      </c>
    </row>
    <row r="8" spans="2:13" x14ac:dyDescent="0.35">
      <c r="B8" s="146" t="s">
        <v>14</v>
      </c>
      <c r="C8" s="147">
        <v>14706.564</v>
      </c>
      <c r="D8" s="147">
        <v>15983.97</v>
      </c>
      <c r="E8" s="148">
        <v>27123.57</v>
      </c>
      <c r="F8" s="148">
        <v>26156.13</v>
      </c>
      <c r="G8" s="149">
        <v>21808.47</v>
      </c>
      <c r="H8" s="150">
        <f>+D8/E8-1</f>
        <v>-0.41069814924805259</v>
      </c>
      <c r="I8" s="151">
        <f>D8/F8-1</f>
        <v>-0.38890156915415242</v>
      </c>
      <c r="J8" s="152">
        <f t="shared" ref="J8:J17" si="0">D8/G8-1</f>
        <v>-0.26707513181805054</v>
      </c>
      <c r="K8" s="153">
        <f t="shared" ref="K8:K17" si="1">D8-E8</f>
        <v>-11139.6</v>
      </c>
      <c r="L8" s="154">
        <f t="shared" ref="L8:L18" si="2">D8-F8</f>
        <v>-10172.160000000002</v>
      </c>
      <c r="M8" s="155">
        <f t="shared" ref="M8:M18" si="3">D8-G8</f>
        <v>-5824.5000000000018</v>
      </c>
    </row>
    <row r="9" spans="2:13" x14ac:dyDescent="0.35">
      <c r="B9" s="146" t="s">
        <v>15</v>
      </c>
      <c r="C9" s="147">
        <v>5100.0959999999995</v>
      </c>
      <c r="D9" s="147">
        <v>6179.29</v>
      </c>
      <c r="E9" s="148">
        <v>31706.87</v>
      </c>
      <c r="F9" s="148">
        <v>21242.46</v>
      </c>
      <c r="G9" s="149">
        <v>48567.54</v>
      </c>
      <c r="H9" s="150">
        <f t="shared" ref="H9:H19" si="4">+D9/E9-1</f>
        <v>-0.80511195207852426</v>
      </c>
      <c r="I9" s="151">
        <f>D9/F9-1</f>
        <v>-0.70910666655368537</v>
      </c>
      <c r="J9" s="152">
        <f t="shared" si="0"/>
        <v>-0.87276913757624952</v>
      </c>
      <c r="K9" s="153">
        <f t="shared" si="1"/>
        <v>-25527.579999999998</v>
      </c>
      <c r="L9" s="154">
        <f t="shared" si="2"/>
        <v>-15063.169999999998</v>
      </c>
      <c r="M9" s="155">
        <f t="shared" si="3"/>
        <v>-42388.25</v>
      </c>
    </row>
    <row r="10" spans="2:13" x14ac:dyDescent="0.35">
      <c r="B10" s="146" t="s">
        <v>16</v>
      </c>
      <c r="C10" s="147">
        <v>10425.012000000001</v>
      </c>
      <c r="D10" s="147">
        <v>12081.62</v>
      </c>
      <c r="E10" s="148">
        <v>19662.2</v>
      </c>
      <c r="F10" s="148">
        <v>21502.3</v>
      </c>
      <c r="G10" s="149">
        <v>26398.799999999999</v>
      </c>
      <c r="H10" s="150">
        <f t="shared" si="4"/>
        <v>-0.38554078383904145</v>
      </c>
      <c r="I10" s="151">
        <f>D10/F10-1</f>
        <v>-0.43812429368021089</v>
      </c>
      <c r="J10" s="152">
        <f t="shared" si="0"/>
        <v>-0.54234207615497665</v>
      </c>
      <c r="K10" s="153">
        <f t="shared" si="1"/>
        <v>-7580.58</v>
      </c>
      <c r="L10" s="154">
        <f t="shared" si="2"/>
        <v>-9420.6799999999985</v>
      </c>
      <c r="M10" s="155">
        <f t="shared" si="3"/>
        <v>-14317.179999999998</v>
      </c>
    </row>
    <row r="11" spans="2:13" ht="21.75" thickBot="1" x14ac:dyDescent="0.4">
      <c r="B11" s="146" t="s">
        <v>17</v>
      </c>
      <c r="C11" s="147">
        <v>25775.248</v>
      </c>
      <c r="D11" s="147">
        <v>29879.98</v>
      </c>
      <c r="E11" s="148">
        <v>44651.78</v>
      </c>
      <c r="F11" s="148">
        <v>31670.14</v>
      </c>
      <c r="G11" s="149">
        <v>42325.31</v>
      </c>
      <c r="H11" s="150">
        <f t="shared" si="4"/>
        <v>-0.33082219790566014</v>
      </c>
      <c r="I11" s="151">
        <f>D11/F11-1</f>
        <v>-5.6525168502570611E-2</v>
      </c>
      <c r="J11" s="152">
        <f t="shared" si="0"/>
        <v>-0.29403990189321705</v>
      </c>
      <c r="K11" s="153">
        <f t="shared" si="1"/>
        <v>-14771.8</v>
      </c>
      <c r="L11" s="154">
        <f t="shared" si="2"/>
        <v>-1790.1599999999999</v>
      </c>
      <c r="M11" s="155">
        <f t="shared" si="3"/>
        <v>-12445.329999999998</v>
      </c>
    </row>
    <row r="12" spans="2:13" ht="21.75" thickBot="1" x14ac:dyDescent="0.4">
      <c r="B12" s="156" t="s">
        <v>18</v>
      </c>
      <c r="C12" s="157">
        <f>SUM(C8:C11)</f>
        <v>56006.92</v>
      </c>
      <c r="D12" s="158">
        <f>SUM(D8:D11)</f>
        <v>64124.86</v>
      </c>
      <c r="E12" s="159">
        <f>SUM(E8:E11)</f>
        <v>123144.42</v>
      </c>
      <c r="F12" s="159">
        <f>SUM(F8:F11)</f>
        <v>100571.03</v>
      </c>
      <c r="G12" s="160">
        <f>SUM(G8:G11)</f>
        <v>139100.12</v>
      </c>
      <c r="H12" s="161">
        <f t="shared" si="4"/>
        <v>-0.47927108674514041</v>
      </c>
      <c r="I12" s="161">
        <f>D12/F12-I13</f>
        <v>1.0099247898945785</v>
      </c>
      <c r="J12" s="161">
        <f t="shared" si="0"/>
        <v>-0.53900212307509143</v>
      </c>
      <c r="K12" s="162">
        <f t="shared" si="1"/>
        <v>-59019.56</v>
      </c>
      <c r="L12" s="162">
        <f t="shared" si="2"/>
        <v>-36446.17</v>
      </c>
      <c r="M12" s="162">
        <f t="shared" si="3"/>
        <v>-74975.259999999995</v>
      </c>
    </row>
    <row r="13" spans="2:13" x14ac:dyDescent="0.35">
      <c r="B13" s="163" t="s">
        <v>19</v>
      </c>
      <c r="C13" s="164">
        <v>26313.276000000002</v>
      </c>
      <c r="D13" s="147">
        <v>27040.58</v>
      </c>
      <c r="E13" s="165">
        <v>49089.5</v>
      </c>
      <c r="F13" s="165">
        <v>41921.29</v>
      </c>
      <c r="G13" s="166">
        <v>30582.67</v>
      </c>
      <c r="H13" s="167">
        <f t="shared" si="4"/>
        <v>-0.44915755915216082</v>
      </c>
      <c r="I13" s="168">
        <f>C13/F13-1</f>
        <v>-0.37231712096645875</v>
      </c>
      <c r="J13" s="169">
        <f t="shared" si="0"/>
        <v>-0.11582016874262435</v>
      </c>
      <c r="K13" s="170">
        <f t="shared" si="1"/>
        <v>-22048.92</v>
      </c>
      <c r="L13" s="171">
        <f t="shared" si="2"/>
        <v>-14880.71</v>
      </c>
      <c r="M13" s="172">
        <f t="shared" si="3"/>
        <v>-3542.0899999999965</v>
      </c>
    </row>
    <row r="14" spans="2:13" x14ac:dyDescent="0.35">
      <c r="B14" s="163" t="s">
        <v>20</v>
      </c>
      <c r="C14" s="164">
        <v>6122.51</v>
      </c>
      <c r="D14" s="147">
        <v>6586.15</v>
      </c>
      <c r="E14" s="165">
        <v>9043.27</v>
      </c>
      <c r="F14" s="165">
        <v>9099.8799999999992</v>
      </c>
      <c r="G14" s="166">
        <v>10854</v>
      </c>
      <c r="H14" s="150">
        <f t="shared" si="4"/>
        <v>-0.27170702633007759</v>
      </c>
      <c r="I14" s="151">
        <f>D14/F14-1</f>
        <v>-0.27623770862912478</v>
      </c>
      <c r="J14" s="152">
        <f t="shared" si="0"/>
        <v>-0.39320526994656346</v>
      </c>
      <c r="K14" s="153">
        <f t="shared" si="1"/>
        <v>-2457.1200000000008</v>
      </c>
      <c r="L14" s="154">
        <f t="shared" si="2"/>
        <v>-2513.7299999999996</v>
      </c>
      <c r="M14" s="155">
        <f t="shared" si="3"/>
        <v>-4267.8500000000004</v>
      </c>
    </row>
    <row r="15" spans="2:13" x14ac:dyDescent="0.35">
      <c r="B15" s="173" t="s">
        <v>23</v>
      </c>
      <c r="C15" s="164">
        <v>3916.5740000000001</v>
      </c>
      <c r="D15" s="147">
        <v>3892.57</v>
      </c>
      <c r="E15" s="174">
        <v>3741.06</v>
      </c>
      <c r="F15" s="174">
        <v>3464.41</v>
      </c>
      <c r="G15" s="174">
        <v>5390.3</v>
      </c>
      <c r="H15" s="175">
        <f t="shared" si="4"/>
        <v>4.0499216799516846E-2</v>
      </c>
      <c r="I15" s="176">
        <f>D15/F15-1</f>
        <v>0.12358814343567892</v>
      </c>
      <c r="J15" s="152">
        <f t="shared" si="0"/>
        <v>-0.27785652004526651</v>
      </c>
      <c r="K15" s="177">
        <f t="shared" si="1"/>
        <v>151.51000000000022</v>
      </c>
      <c r="L15" s="178">
        <f t="shared" si="2"/>
        <v>428.16000000000031</v>
      </c>
      <c r="M15" s="155">
        <f t="shared" si="3"/>
        <v>-1497.73</v>
      </c>
    </row>
    <row r="16" spans="2:13" x14ac:dyDescent="0.35">
      <c r="B16" s="163" t="s">
        <v>21</v>
      </c>
      <c r="C16" s="164">
        <v>54213.364000000001</v>
      </c>
      <c r="D16" s="147">
        <v>57728.68</v>
      </c>
      <c r="E16" s="165">
        <v>29902.565999999999</v>
      </c>
      <c r="F16" s="165">
        <v>22634.92</v>
      </c>
      <c r="G16" s="166">
        <v>5669.99</v>
      </c>
      <c r="H16" s="179">
        <f t="shared" si="4"/>
        <v>0.93055940416618443</v>
      </c>
      <c r="I16" s="176">
        <f>D16/F16-1</f>
        <v>1.5504256255378861</v>
      </c>
      <c r="J16" s="180">
        <f t="shared" si="0"/>
        <v>9.1814430007813073</v>
      </c>
      <c r="K16" s="181">
        <f t="shared" si="1"/>
        <v>27826.114000000001</v>
      </c>
      <c r="L16" s="178">
        <f t="shared" si="2"/>
        <v>35093.760000000002</v>
      </c>
      <c r="M16" s="182">
        <f t="shared" si="3"/>
        <v>52058.69</v>
      </c>
    </row>
    <row r="17" spans="1:13" ht="21.75" thickBot="1" x14ac:dyDescent="0.4">
      <c r="B17" s="163" t="s">
        <v>107</v>
      </c>
      <c r="C17" s="164">
        <v>19611.289199999999</v>
      </c>
      <c r="D17" s="147">
        <v>20555.38</v>
      </c>
      <c r="E17" s="165">
        <v>16272.26</v>
      </c>
      <c r="F17" s="165">
        <v>19040</v>
      </c>
      <c r="G17" s="166">
        <v>20823.21</v>
      </c>
      <c r="H17" s="179">
        <f t="shared" si="4"/>
        <v>0.26321604989104164</v>
      </c>
      <c r="I17" s="176">
        <f>D17/F17-1</f>
        <v>7.9589285714285696E-2</v>
      </c>
      <c r="J17" s="152">
        <f t="shared" si="0"/>
        <v>-1.2862089946746869E-2</v>
      </c>
      <c r="K17" s="181">
        <f t="shared" si="1"/>
        <v>4283.1200000000008</v>
      </c>
      <c r="L17" s="178">
        <f t="shared" si="2"/>
        <v>1515.380000000001</v>
      </c>
      <c r="M17" s="155">
        <f t="shared" si="3"/>
        <v>-267.82999999999811</v>
      </c>
    </row>
    <row r="18" spans="1:13" ht="21.75" thickBot="1" x14ac:dyDescent="0.4">
      <c r="B18" s="183" t="s">
        <v>26</v>
      </c>
      <c r="C18" s="184">
        <f>SUM(C13:C17)</f>
        <v>110177.0132</v>
      </c>
      <c r="D18" s="185">
        <f>SUM(D13:D17)</f>
        <v>115803.36000000002</v>
      </c>
      <c r="E18" s="186">
        <f>SUM(E13:E17)</f>
        <v>108048.656</v>
      </c>
      <c r="F18" s="186">
        <f>SUM(F13:F17)</f>
        <v>96160.5</v>
      </c>
      <c r="G18" s="187">
        <f>SUM(G13:G17)</f>
        <v>73320.17</v>
      </c>
      <c r="H18" s="179">
        <f t="shared" si="4"/>
        <v>7.1770480884093768E-2</v>
      </c>
      <c r="I18" s="176">
        <f>D18/F18-1</f>
        <v>0.20427160840469849</v>
      </c>
      <c r="J18" s="180">
        <f t="shared" ref="J18:J19" si="5">D18/G18-1</f>
        <v>0.57942023320458769</v>
      </c>
      <c r="K18" s="188">
        <f t="shared" ref="K18:K19" si="6">D18-E18</f>
        <v>7754.7040000000125</v>
      </c>
      <c r="L18" s="189">
        <f t="shared" si="2"/>
        <v>19642.860000000015</v>
      </c>
      <c r="M18" s="189">
        <f t="shared" si="3"/>
        <v>42483.190000000017</v>
      </c>
    </row>
    <row r="19" spans="1:13" ht="42.75" thickBot="1" x14ac:dyDescent="0.4">
      <c r="B19" s="190" t="s">
        <v>58</v>
      </c>
      <c r="C19" s="191">
        <f>C12+C18</f>
        <v>166183.9332</v>
      </c>
      <c r="D19" s="192">
        <f>D12+D18</f>
        <v>179928.22000000003</v>
      </c>
      <c r="E19" s="193">
        <f>E12+E18</f>
        <v>231193.076</v>
      </c>
      <c r="F19" s="193">
        <f>F12+F18</f>
        <v>196731.53</v>
      </c>
      <c r="G19" s="193">
        <f>G12+G18</f>
        <v>212420.28999999998</v>
      </c>
      <c r="H19" s="194">
        <f t="shared" si="4"/>
        <v>-0.22174044693276185</v>
      </c>
      <c r="I19" s="194">
        <f t="shared" ref="I19" si="7">D19/F19-1</f>
        <v>-8.5412389157955348E-2</v>
      </c>
      <c r="J19" s="194">
        <f t="shared" si="5"/>
        <v>-0.15296123548273077</v>
      </c>
      <c r="K19" s="195">
        <f t="shared" si="6"/>
        <v>-51264.855999999971</v>
      </c>
      <c r="L19" s="196">
        <f t="shared" ref="L19" si="8">D19-F19</f>
        <v>-16803.309999999969</v>
      </c>
      <c r="M19" s="196">
        <f t="shared" ref="M19" si="9">D19-G19</f>
        <v>-32492.069999999949</v>
      </c>
    </row>
    <row r="20" spans="1:13" ht="42" x14ac:dyDescent="0.35">
      <c r="B20" s="197" t="s">
        <v>45</v>
      </c>
      <c r="C20" s="198"/>
      <c r="D20" s="199"/>
      <c r="E20" s="200">
        <v>248044.08040000001</v>
      </c>
      <c r="F20" s="200">
        <v>233879.3</v>
      </c>
      <c r="G20" s="200">
        <v>271615.8149</v>
      </c>
      <c r="H20" s="201"/>
      <c r="I20" s="201"/>
      <c r="J20" s="201"/>
      <c r="K20" s="202"/>
      <c r="L20" s="202"/>
      <c r="M20" s="202"/>
    </row>
    <row r="21" spans="1:13" x14ac:dyDescent="0.35">
      <c r="A21" s="22" t="s">
        <v>27</v>
      </c>
      <c r="B21" s="203"/>
      <c r="C21" s="204"/>
      <c r="D21" s="204"/>
      <c r="E21" s="204"/>
      <c r="F21" s="204"/>
      <c r="G21" s="204"/>
      <c r="H21" s="205"/>
      <c r="I21" s="205"/>
      <c r="J21" s="205"/>
      <c r="K21" s="206"/>
      <c r="L21" s="206"/>
      <c r="M21" s="206"/>
    </row>
    <row r="22" spans="1:13" x14ac:dyDescent="0.35">
      <c r="A22" t="s">
        <v>106</v>
      </c>
      <c r="B22" s="203"/>
      <c r="C22" s="204"/>
      <c r="D22" s="204"/>
      <c r="E22" s="204"/>
      <c r="F22" s="204"/>
      <c r="G22" s="204"/>
      <c r="H22" s="205"/>
      <c r="I22" s="205"/>
      <c r="J22" s="205"/>
      <c r="K22" s="206"/>
      <c r="L22" s="206"/>
      <c r="M22" s="206"/>
    </row>
    <row r="23" spans="1:13" x14ac:dyDescent="0.35">
      <c r="B23" s="231"/>
      <c r="C23" s="231"/>
      <c r="D23" s="207"/>
      <c r="E23" s="208"/>
      <c r="F23" s="133"/>
      <c r="G23" s="133"/>
      <c r="H23" s="133"/>
      <c r="I23" s="205"/>
      <c r="J23" s="205"/>
      <c r="K23" s="206"/>
      <c r="L23" s="206"/>
      <c r="M23" s="206"/>
    </row>
    <row r="24" spans="1:13" x14ac:dyDescent="0.35">
      <c r="B24" s="208"/>
      <c r="C24" s="133"/>
      <c r="D24" s="133"/>
      <c r="E24" s="209"/>
      <c r="F24" s="133"/>
      <c r="G24" s="209"/>
      <c r="H24" s="133"/>
      <c r="I24" s="205"/>
      <c r="J24" s="205"/>
      <c r="K24" s="206"/>
      <c r="L24" s="206"/>
      <c r="M24" s="206"/>
    </row>
    <row r="25" spans="1:13" x14ac:dyDescent="0.35">
      <c r="C25" s="210"/>
      <c r="D25" s="211"/>
      <c r="E25" s="210"/>
      <c r="F25" s="133"/>
      <c r="G25" s="133"/>
      <c r="H25" s="133"/>
      <c r="I25" s="205"/>
      <c r="J25" s="205"/>
      <c r="K25" s="206"/>
      <c r="L25" s="206"/>
      <c r="M25" s="206"/>
    </row>
    <row r="26" spans="1:13" x14ac:dyDescent="0.35">
      <c r="E26" s="210"/>
    </row>
  </sheetData>
  <mergeCells count="5">
    <mergeCell ref="J2:K2"/>
    <mergeCell ref="H5:J6"/>
    <mergeCell ref="K5:M6"/>
    <mergeCell ref="B23:C23"/>
    <mergeCell ref="D5:G6"/>
  </mergeCells>
  <phoneticPr fontId="24"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Q39"/>
  <sheetViews>
    <sheetView showGridLines="0" workbookViewId="0">
      <selection activeCell="A39" sqref="A39"/>
    </sheetView>
  </sheetViews>
  <sheetFormatPr baseColWidth="10" defaultRowHeight="15" x14ac:dyDescent="0.25"/>
  <cols>
    <col min="1" max="1" width="7.5703125" customWidth="1"/>
    <col min="2" max="2" width="36.42578125" customWidth="1"/>
    <col min="3" max="3" width="13.5703125" customWidth="1"/>
    <col min="15" max="15" width="15.5703125" customWidth="1"/>
    <col min="16" max="16" width="14.140625" bestFit="1" customWidth="1"/>
  </cols>
  <sheetData>
    <row r="1" spans="2:17" ht="15.75" thickBot="1" x14ac:dyDescent="0.3"/>
    <row r="2" spans="2:17" ht="16.5" thickBot="1" x14ac:dyDescent="0.3">
      <c r="B2" s="238" t="s">
        <v>96</v>
      </c>
      <c r="C2" s="239"/>
      <c r="D2" s="239"/>
      <c r="E2" s="239"/>
      <c r="F2" s="239"/>
      <c r="G2" s="239"/>
      <c r="H2" s="239"/>
      <c r="I2" s="239"/>
      <c r="J2" s="239"/>
      <c r="K2" s="239"/>
      <c r="L2" s="239"/>
      <c r="M2" s="239"/>
      <c r="N2" s="239"/>
      <c r="O2" s="239"/>
      <c r="P2" s="240"/>
    </row>
    <row r="3" spans="2:17" ht="5.25" customHeight="1" x14ac:dyDescent="0.25"/>
    <row r="4" spans="2:17" x14ac:dyDescent="0.25">
      <c r="B4" s="89" t="s">
        <v>72</v>
      </c>
      <c r="C4" s="90" t="s">
        <v>78</v>
      </c>
      <c r="D4" s="90" t="s">
        <v>80</v>
      </c>
      <c r="E4" s="90" t="s">
        <v>79</v>
      </c>
      <c r="F4" s="90" t="s">
        <v>81</v>
      </c>
      <c r="G4" s="90" t="s">
        <v>82</v>
      </c>
      <c r="H4" s="90" t="s">
        <v>83</v>
      </c>
      <c r="I4" s="90" t="s">
        <v>84</v>
      </c>
      <c r="J4" s="90" t="s">
        <v>85</v>
      </c>
      <c r="K4" s="90" t="s">
        <v>86</v>
      </c>
      <c r="L4" s="215" t="s">
        <v>87</v>
      </c>
      <c r="M4" s="215" t="s">
        <v>108</v>
      </c>
      <c r="N4" s="215" t="s">
        <v>111</v>
      </c>
      <c r="O4" s="215" t="s">
        <v>20</v>
      </c>
      <c r="P4" s="85" t="s">
        <v>88</v>
      </c>
    </row>
    <row r="5" spans="2:17" x14ac:dyDescent="0.25">
      <c r="B5" s="91" t="s">
        <v>73</v>
      </c>
      <c r="C5" s="84">
        <v>441.13</v>
      </c>
      <c r="D5" s="84"/>
      <c r="E5" s="84"/>
      <c r="F5" s="84"/>
      <c r="G5" s="84"/>
      <c r="H5" s="84"/>
      <c r="I5" s="84"/>
      <c r="J5" s="84"/>
      <c r="K5" s="84"/>
      <c r="L5" s="84"/>
      <c r="M5" s="84"/>
      <c r="N5" s="84"/>
      <c r="O5" s="84"/>
      <c r="P5" s="86">
        <f>SUM(C5:L5)</f>
        <v>441.13</v>
      </c>
      <c r="Q5" s="101"/>
    </row>
    <row r="6" spans="2:17" x14ac:dyDescent="0.25">
      <c r="B6" s="91" t="s">
        <v>74</v>
      </c>
      <c r="C6" s="84"/>
      <c r="D6" s="84"/>
      <c r="E6" s="84"/>
      <c r="F6" s="84"/>
      <c r="G6" s="84"/>
      <c r="H6" s="84"/>
      <c r="I6" s="84"/>
      <c r="J6" s="84">
        <v>49.6</v>
      </c>
      <c r="K6" s="84"/>
      <c r="L6" s="84"/>
      <c r="M6" s="84"/>
      <c r="N6" s="84"/>
      <c r="O6" s="84"/>
      <c r="P6" s="86">
        <f>SUM(C6:L6)</f>
        <v>49.6</v>
      </c>
      <c r="Q6" s="101"/>
    </row>
    <row r="7" spans="2:17" x14ac:dyDescent="0.25">
      <c r="B7" s="91" t="s">
        <v>75</v>
      </c>
      <c r="C7" s="84">
        <v>473.77</v>
      </c>
      <c r="D7" s="84"/>
      <c r="E7" s="84"/>
      <c r="F7" s="84">
        <v>192</v>
      </c>
      <c r="G7" s="84"/>
      <c r="H7" s="84"/>
      <c r="I7" s="84"/>
      <c r="J7" s="84">
        <v>102.38</v>
      </c>
      <c r="K7" s="84">
        <v>1536.41</v>
      </c>
      <c r="L7" s="84"/>
      <c r="M7" s="84"/>
      <c r="N7" s="84"/>
      <c r="O7" s="84"/>
      <c r="P7" s="86">
        <f>SUM(C7:L7)</f>
        <v>2304.56</v>
      </c>
      <c r="Q7" s="101"/>
    </row>
    <row r="8" spans="2:17" x14ac:dyDescent="0.25">
      <c r="B8" s="91" t="s">
        <v>76</v>
      </c>
      <c r="C8" s="84">
        <v>816.23</v>
      </c>
      <c r="D8" s="84"/>
      <c r="E8" s="84"/>
      <c r="F8" s="84">
        <v>169.21</v>
      </c>
      <c r="G8" s="84"/>
      <c r="H8" s="84"/>
      <c r="I8" s="84">
        <v>184.19</v>
      </c>
      <c r="J8" s="84">
        <v>51.84</v>
      </c>
      <c r="K8" s="84">
        <v>6943.17</v>
      </c>
      <c r="L8" s="84"/>
      <c r="M8" s="84"/>
      <c r="N8" s="84"/>
      <c r="O8" s="84"/>
      <c r="P8" s="86">
        <f>SUM(C8:L8)</f>
        <v>8164.64</v>
      </c>
      <c r="Q8" s="101"/>
    </row>
    <row r="9" spans="2:17" x14ac:dyDescent="0.25">
      <c r="B9" s="91" t="s">
        <v>77</v>
      </c>
      <c r="C9" s="84">
        <v>93984.23</v>
      </c>
      <c r="D9" s="84">
        <v>23.4</v>
      </c>
      <c r="E9" s="84"/>
      <c r="F9" s="84">
        <v>4496.59</v>
      </c>
      <c r="G9" s="84"/>
      <c r="H9" s="84"/>
      <c r="I9" s="84">
        <v>1834.34</v>
      </c>
      <c r="J9" s="84"/>
      <c r="K9" s="84">
        <v>59108.22</v>
      </c>
      <c r="L9" s="75"/>
      <c r="M9" s="75"/>
      <c r="N9" s="75"/>
      <c r="O9" s="75"/>
      <c r="P9" s="86">
        <f>SUM(C9:M9)</f>
        <v>159446.77999999997</v>
      </c>
    </row>
    <row r="10" spans="2:17" ht="18.75" x14ac:dyDescent="0.25">
      <c r="B10" s="87" t="s">
        <v>109</v>
      </c>
      <c r="C10" s="86">
        <f t="shared" ref="C10:K10" si="0">SUM(C5:C9)</f>
        <v>95715.36</v>
      </c>
      <c r="D10" s="86">
        <f t="shared" si="0"/>
        <v>23.4</v>
      </c>
      <c r="E10" s="86">
        <f t="shared" si="0"/>
        <v>0</v>
      </c>
      <c r="F10" s="86">
        <f t="shared" si="0"/>
        <v>4857.8</v>
      </c>
      <c r="G10" s="86">
        <f t="shared" si="0"/>
        <v>0</v>
      </c>
      <c r="H10" s="86">
        <f t="shared" si="0"/>
        <v>0</v>
      </c>
      <c r="I10" s="86">
        <f t="shared" si="0"/>
        <v>2018.53</v>
      </c>
      <c r="J10" s="86">
        <f t="shared" si="0"/>
        <v>203.82</v>
      </c>
      <c r="K10" s="86">
        <f t="shared" si="0"/>
        <v>67587.8</v>
      </c>
      <c r="L10" s="214">
        <v>12462.29</v>
      </c>
      <c r="M10" s="214">
        <v>27040.59</v>
      </c>
      <c r="N10" s="214">
        <v>3892.57</v>
      </c>
      <c r="O10" s="214">
        <v>6586.15</v>
      </c>
      <c r="P10" s="88">
        <f>SUM(C10:O10)</f>
        <v>220388.31000000003</v>
      </c>
      <c r="Q10" s="212">
        <v>44409</v>
      </c>
    </row>
    <row r="11" spans="2:17" x14ac:dyDescent="0.25">
      <c r="B11" s="91" t="s">
        <v>104</v>
      </c>
      <c r="C11" s="126">
        <v>64124.86</v>
      </c>
      <c r="D11" s="75">
        <v>23.4</v>
      </c>
      <c r="E11" s="75"/>
      <c r="F11" s="126">
        <v>5138.79</v>
      </c>
      <c r="G11" s="75"/>
      <c r="H11" s="75"/>
      <c r="I11" s="75">
        <v>1835.9</v>
      </c>
      <c r="J11" s="126">
        <v>1095</v>
      </c>
      <c r="K11" s="126">
        <v>57728.68</v>
      </c>
      <c r="L11" s="216">
        <v>12462.29</v>
      </c>
      <c r="M11" s="216">
        <v>27040.58</v>
      </c>
      <c r="N11" s="216">
        <v>3892.57</v>
      </c>
      <c r="O11" s="216">
        <v>6586.15</v>
      </c>
      <c r="P11" s="127">
        <f>SUM(C11:O11)</f>
        <v>179928.22</v>
      </c>
      <c r="Q11" s="213">
        <v>44407</v>
      </c>
    </row>
    <row r="12" spans="2:17" x14ac:dyDescent="0.25">
      <c r="B12" s="77"/>
      <c r="C12" s="125"/>
      <c r="D12" s="2"/>
      <c r="E12" s="2"/>
      <c r="F12" s="125"/>
      <c r="G12" s="2"/>
      <c r="H12" s="2"/>
      <c r="I12" s="2"/>
      <c r="J12" s="125"/>
      <c r="K12" s="125"/>
      <c r="L12" s="217"/>
      <c r="M12" s="217"/>
      <c r="N12" s="217"/>
      <c r="O12" s="217"/>
      <c r="P12" s="218"/>
      <c r="Q12" s="213"/>
    </row>
    <row r="13" spans="2:17" x14ac:dyDescent="0.25">
      <c r="B13" t="s">
        <v>112</v>
      </c>
      <c r="C13" s="125"/>
      <c r="D13" s="2"/>
      <c r="E13" s="2"/>
      <c r="F13" s="125"/>
      <c r="G13" s="2"/>
      <c r="H13" s="2"/>
      <c r="I13" s="2"/>
      <c r="J13" s="125"/>
      <c r="K13" s="125"/>
      <c r="L13" s="217"/>
      <c r="M13" s="217"/>
      <c r="N13" s="217"/>
      <c r="O13" s="217"/>
      <c r="P13" s="218"/>
      <c r="Q13" s="213"/>
    </row>
    <row r="14" spans="2:17" x14ac:dyDescent="0.25">
      <c r="B14" t="s">
        <v>113</v>
      </c>
      <c r="C14" s="125"/>
      <c r="D14" s="2"/>
      <c r="E14" s="2"/>
      <c r="F14" s="125"/>
      <c r="G14" s="2"/>
      <c r="H14" s="2"/>
      <c r="I14" s="2"/>
      <c r="J14" s="125"/>
      <c r="K14" s="125"/>
      <c r="L14" s="217"/>
      <c r="M14" s="217"/>
      <c r="N14" s="217"/>
      <c r="O14" s="217"/>
      <c r="P14" s="218"/>
      <c r="Q14" s="213"/>
    </row>
    <row r="15" spans="2:17" x14ac:dyDescent="0.25">
      <c r="B15" s="77"/>
      <c r="C15" s="125"/>
      <c r="D15" s="2"/>
      <c r="E15" s="2"/>
      <c r="F15" s="125"/>
      <c r="G15" s="2"/>
      <c r="H15" s="2"/>
      <c r="I15" s="2"/>
      <c r="J15" s="125"/>
      <c r="K15" s="125"/>
      <c r="L15" s="217"/>
      <c r="M15" s="217"/>
      <c r="N15" s="217"/>
      <c r="O15" s="217"/>
      <c r="P15" s="218"/>
      <c r="Q15" s="213"/>
    </row>
    <row r="16" spans="2:17" x14ac:dyDescent="0.25">
      <c r="B16" s="77"/>
      <c r="C16" s="125"/>
      <c r="D16" s="2"/>
      <c r="E16" s="2"/>
      <c r="F16" s="125"/>
      <c r="G16" s="2"/>
      <c r="H16" s="2"/>
      <c r="I16" s="2"/>
      <c r="J16" s="125"/>
      <c r="K16" s="125"/>
      <c r="L16" s="217"/>
      <c r="M16" s="217"/>
      <c r="N16" s="217"/>
      <c r="O16" s="217"/>
      <c r="P16" s="218"/>
      <c r="Q16" s="213"/>
    </row>
    <row r="17" spans="2:17" x14ac:dyDescent="0.25">
      <c r="B17" s="77"/>
      <c r="C17" s="125"/>
      <c r="D17" s="2"/>
      <c r="E17" s="2"/>
      <c r="F17" s="125"/>
      <c r="G17" s="2"/>
      <c r="H17" s="2"/>
      <c r="I17" s="2"/>
      <c r="J17" s="125"/>
      <c r="K17" s="125"/>
      <c r="L17" s="217"/>
      <c r="M17" s="217"/>
      <c r="N17" s="217"/>
      <c r="O17" s="217"/>
      <c r="P17" s="218"/>
      <c r="Q17" s="213"/>
    </row>
    <row r="18" spans="2:17" ht="15.75" thickBot="1" x14ac:dyDescent="0.3">
      <c r="B18" s="77"/>
      <c r="C18" s="125"/>
      <c r="F18" s="125"/>
      <c r="J18" s="125"/>
      <c r="K18" s="125"/>
      <c r="Q18" s="101"/>
    </row>
    <row r="19" spans="2:17" ht="16.5" thickBot="1" x14ac:dyDescent="0.3">
      <c r="B19" s="241" t="s">
        <v>89</v>
      </c>
      <c r="C19" s="242"/>
      <c r="D19" s="242"/>
      <c r="E19" s="242"/>
      <c r="F19" s="242"/>
      <c r="G19" s="242"/>
      <c r="H19" s="242"/>
      <c r="I19" s="242"/>
      <c r="J19" s="242"/>
      <c r="K19" s="242"/>
      <c r="L19" s="242"/>
      <c r="M19" s="242"/>
      <c r="N19" s="242"/>
      <c r="O19" s="242"/>
      <c r="P19" s="243"/>
      <c r="Q19" s="101"/>
    </row>
    <row r="20" spans="2:17" ht="6" customHeight="1" x14ac:dyDescent="0.25">
      <c r="Q20" s="101"/>
    </row>
    <row r="21" spans="2:17" x14ac:dyDescent="0.25">
      <c r="B21" s="89" t="s">
        <v>72</v>
      </c>
      <c r="C21" s="90" t="s">
        <v>78</v>
      </c>
      <c r="D21" s="90" t="s">
        <v>80</v>
      </c>
      <c r="E21" s="90" t="s">
        <v>79</v>
      </c>
      <c r="F21" s="90" t="s">
        <v>81</v>
      </c>
      <c r="G21" s="90" t="s">
        <v>82</v>
      </c>
      <c r="H21" s="90" t="s">
        <v>83</v>
      </c>
      <c r="I21" s="90" t="s">
        <v>84</v>
      </c>
      <c r="J21" s="90" t="s">
        <v>85</v>
      </c>
      <c r="K21" s="90" t="s">
        <v>86</v>
      </c>
      <c r="L21" s="90" t="s">
        <v>87</v>
      </c>
      <c r="M21" s="90"/>
      <c r="N21" s="90"/>
      <c r="O21" s="90"/>
      <c r="P21" s="95" t="s">
        <v>88</v>
      </c>
      <c r="Q21" s="101"/>
    </row>
    <row r="22" spans="2:17" x14ac:dyDescent="0.25">
      <c r="B22" s="91" t="s">
        <v>73</v>
      </c>
      <c r="C22" s="84">
        <v>3321.64</v>
      </c>
      <c r="D22" s="84">
        <v>358.5</v>
      </c>
      <c r="E22" s="84"/>
      <c r="F22" s="84"/>
      <c r="G22" s="84"/>
      <c r="H22" s="84"/>
      <c r="I22" s="84"/>
      <c r="J22" s="84">
        <v>4.8</v>
      </c>
      <c r="K22" s="84"/>
      <c r="L22" s="84"/>
      <c r="M22" s="84"/>
      <c r="N22" s="84"/>
      <c r="O22" s="84"/>
      <c r="P22" s="93">
        <f>SUM(C22:L22)</f>
        <v>3684.94</v>
      </c>
      <c r="Q22" s="101"/>
    </row>
    <row r="23" spans="2:17" x14ac:dyDescent="0.25">
      <c r="B23" s="91" t="s">
        <v>90</v>
      </c>
      <c r="C23" s="84">
        <v>2032.81</v>
      </c>
      <c r="D23" s="84">
        <v>116.22</v>
      </c>
      <c r="E23" s="84"/>
      <c r="F23" s="84"/>
      <c r="G23" s="84"/>
      <c r="H23" s="84"/>
      <c r="I23" s="84"/>
      <c r="J23" s="84">
        <v>15.75</v>
      </c>
      <c r="K23" s="84"/>
      <c r="L23" s="84"/>
      <c r="M23" s="84"/>
      <c r="N23" s="84"/>
      <c r="O23" s="84"/>
      <c r="P23" s="93">
        <f t="shared" ref="P23:P25" si="1">SUM(C23:L23)</f>
        <v>2164.7799999999997</v>
      </c>
      <c r="Q23" s="101"/>
    </row>
    <row r="24" spans="2:17" x14ac:dyDescent="0.25">
      <c r="B24" s="91" t="s">
        <v>75</v>
      </c>
      <c r="C24" s="84">
        <v>10779.71</v>
      </c>
      <c r="D24" s="84"/>
      <c r="E24" s="84">
        <v>42</v>
      </c>
      <c r="F24" s="84"/>
      <c r="G24" s="84"/>
      <c r="H24" s="84"/>
      <c r="I24" s="84"/>
      <c r="J24" s="84"/>
      <c r="K24" s="84"/>
      <c r="L24" s="84">
        <v>24</v>
      </c>
      <c r="M24" s="84"/>
      <c r="N24" s="84"/>
      <c r="O24" s="84"/>
      <c r="P24" s="93">
        <f t="shared" si="1"/>
        <v>10845.71</v>
      </c>
    </row>
    <row r="25" spans="2:17" x14ac:dyDescent="0.25">
      <c r="B25" s="91" t="s">
        <v>76</v>
      </c>
      <c r="C25" s="84">
        <v>288</v>
      </c>
      <c r="D25" s="84"/>
      <c r="E25" s="84"/>
      <c r="F25" s="84"/>
      <c r="G25" s="84"/>
      <c r="H25" s="84"/>
      <c r="I25" s="84"/>
      <c r="J25" s="84"/>
      <c r="K25" s="84"/>
      <c r="L25" s="84"/>
      <c r="M25" s="84"/>
      <c r="N25" s="84"/>
      <c r="O25" s="84"/>
      <c r="P25" s="93">
        <f t="shared" si="1"/>
        <v>288</v>
      </c>
    </row>
    <row r="26" spans="2:17" ht="18.75" x14ac:dyDescent="0.25">
      <c r="B26" s="92" t="s">
        <v>91</v>
      </c>
      <c r="C26" s="93">
        <f t="shared" ref="C26:P26" si="2">SUM(C22:C25)</f>
        <v>16422.16</v>
      </c>
      <c r="D26" s="93">
        <f t="shared" si="2"/>
        <v>474.72</v>
      </c>
      <c r="E26" s="93">
        <f t="shared" si="2"/>
        <v>42</v>
      </c>
      <c r="F26" s="93">
        <f t="shared" si="2"/>
        <v>0</v>
      </c>
      <c r="G26" s="93">
        <f t="shared" si="2"/>
        <v>0</v>
      </c>
      <c r="H26" s="93">
        <f t="shared" si="2"/>
        <v>0</v>
      </c>
      <c r="I26" s="93">
        <f t="shared" si="2"/>
        <v>0</v>
      </c>
      <c r="J26" s="93">
        <f t="shared" si="2"/>
        <v>20.55</v>
      </c>
      <c r="K26" s="93">
        <f t="shared" si="2"/>
        <v>0</v>
      </c>
      <c r="L26" s="93">
        <f t="shared" si="2"/>
        <v>24</v>
      </c>
      <c r="M26" s="93"/>
      <c r="N26" s="93"/>
      <c r="O26" s="93"/>
      <c r="P26" s="94">
        <f t="shared" si="2"/>
        <v>16983.43</v>
      </c>
    </row>
    <row r="27" spans="2:17" ht="15.75" thickBot="1" x14ac:dyDescent="0.3"/>
    <row r="28" spans="2:17" ht="16.5" thickBot="1" x14ac:dyDescent="0.3">
      <c r="B28" s="244" t="s">
        <v>92</v>
      </c>
      <c r="C28" s="245"/>
      <c r="D28" s="245"/>
      <c r="E28" s="245"/>
      <c r="F28" s="245"/>
      <c r="G28" s="245"/>
      <c r="H28" s="245"/>
      <c r="I28" s="245"/>
      <c r="J28" s="245"/>
      <c r="K28" s="245"/>
      <c r="L28" s="245"/>
      <c r="M28" s="245"/>
      <c r="N28" s="245"/>
      <c r="O28" s="245"/>
      <c r="P28" s="246"/>
    </row>
    <row r="30" spans="2:17" x14ac:dyDescent="0.25">
      <c r="B30" s="89" t="s">
        <v>72</v>
      </c>
      <c r="C30" s="90" t="s">
        <v>78</v>
      </c>
      <c r="D30" s="90" t="s">
        <v>80</v>
      </c>
      <c r="E30" s="90" t="s">
        <v>79</v>
      </c>
      <c r="F30" s="90" t="s">
        <v>81</v>
      </c>
      <c r="G30" s="90" t="s">
        <v>82</v>
      </c>
      <c r="H30" s="90" t="s">
        <v>83</v>
      </c>
      <c r="I30" s="90" t="s">
        <v>84</v>
      </c>
      <c r="J30" s="90" t="s">
        <v>85</v>
      </c>
      <c r="K30" s="90" t="s">
        <v>86</v>
      </c>
      <c r="L30" s="90" t="s">
        <v>87</v>
      </c>
      <c r="M30" s="90"/>
      <c r="N30" s="90"/>
      <c r="O30" s="90"/>
      <c r="P30" s="96" t="s">
        <v>88</v>
      </c>
    </row>
    <row r="31" spans="2:17" x14ac:dyDescent="0.25">
      <c r="B31" s="91" t="s">
        <v>74</v>
      </c>
      <c r="C31" s="84"/>
      <c r="D31" s="84"/>
      <c r="E31" s="84"/>
      <c r="F31" s="84"/>
      <c r="G31" s="84"/>
      <c r="H31" s="84"/>
      <c r="I31" s="84"/>
      <c r="J31" s="84">
        <v>2233.46</v>
      </c>
      <c r="K31" s="84"/>
      <c r="L31" s="84"/>
      <c r="M31" s="84"/>
      <c r="N31" s="84"/>
      <c r="O31" s="84"/>
      <c r="P31" s="97">
        <f>SUM(C31:L31)</f>
        <v>2233.46</v>
      </c>
    </row>
    <row r="32" spans="2:17" x14ac:dyDescent="0.25">
      <c r="B32" s="91" t="s">
        <v>90</v>
      </c>
      <c r="C32" s="84">
        <v>548.29999999999995</v>
      </c>
      <c r="D32" s="84"/>
      <c r="E32" s="84"/>
      <c r="F32" s="84"/>
      <c r="G32" s="84"/>
      <c r="H32" s="84"/>
      <c r="I32" s="84"/>
      <c r="J32" s="84">
        <v>5408.47</v>
      </c>
      <c r="K32" s="84"/>
      <c r="L32" s="84"/>
      <c r="M32" s="84"/>
      <c r="N32" s="84"/>
      <c r="O32" s="84"/>
      <c r="P32" s="97">
        <f t="shared" ref="P32:P33" si="3">SUM(C32:L32)</f>
        <v>5956.77</v>
      </c>
    </row>
    <row r="33" spans="1:16" x14ac:dyDescent="0.25">
      <c r="B33" s="91" t="s">
        <v>94</v>
      </c>
      <c r="C33" s="84"/>
      <c r="D33" s="84"/>
      <c r="E33" s="84"/>
      <c r="F33" s="84"/>
      <c r="G33" s="84"/>
      <c r="H33" s="84"/>
      <c r="I33" s="84"/>
      <c r="J33" s="84">
        <v>112</v>
      </c>
      <c r="K33" s="84"/>
      <c r="L33" s="84"/>
      <c r="M33" s="84"/>
      <c r="N33" s="84"/>
      <c r="O33" s="84"/>
      <c r="P33" s="97">
        <f t="shared" si="3"/>
        <v>112</v>
      </c>
    </row>
    <row r="34" spans="1:16" ht="18.75" x14ac:dyDescent="0.25">
      <c r="B34" s="98" t="s">
        <v>93</v>
      </c>
      <c r="C34" s="97">
        <f t="shared" ref="C34:P34" si="4">SUM(C31:C33)</f>
        <v>548.29999999999995</v>
      </c>
      <c r="D34" s="97">
        <f t="shared" si="4"/>
        <v>0</v>
      </c>
      <c r="E34" s="97">
        <f t="shared" si="4"/>
        <v>0</v>
      </c>
      <c r="F34" s="97">
        <f t="shared" si="4"/>
        <v>0</v>
      </c>
      <c r="G34" s="97">
        <f t="shared" si="4"/>
        <v>0</v>
      </c>
      <c r="H34" s="97">
        <f t="shared" si="4"/>
        <v>0</v>
      </c>
      <c r="I34" s="97">
        <f t="shared" si="4"/>
        <v>0</v>
      </c>
      <c r="J34" s="97">
        <f t="shared" si="4"/>
        <v>7753.93</v>
      </c>
      <c r="K34" s="97">
        <f t="shared" si="4"/>
        <v>0</v>
      </c>
      <c r="L34" s="97">
        <f t="shared" si="4"/>
        <v>0</v>
      </c>
      <c r="M34" s="97"/>
      <c r="N34" s="97"/>
      <c r="O34" s="97"/>
      <c r="P34" s="99">
        <f t="shared" si="4"/>
        <v>8302.23</v>
      </c>
    </row>
    <row r="35" spans="1:16" ht="15.75" thickBot="1" x14ac:dyDescent="0.3"/>
    <row r="36" spans="1:16" ht="19.5" thickBot="1" x14ac:dyDescent="0.35">
      <c r="B36" s="247" t="s">
        <v>95</v>
      </c>
      <c r="C36" s="248"/>
      <c r="D36" s="248"/>
      <c r="E36" s="248"/>
      <c r="F36" s="248"/>
      <c r="G36" s="248"/>
      <c r="H36" s="248"/>
      <c r="I36" s="248"/>
      <c r="J36" s="248"/>
      <c r="K36" s="248"/>
      <c r="L36" s="248"/>
      <c r="M36" s="128"/>
      <c r="N36" s="128"/>
      <c r="O36" s="128"/>
      <c r="P36" s="100">
        <f>P10+P26+P34</f>
        <v>245673.97000000003</v>
      </c>
    </row>
    <row r="38" spans="1:16" x14ac:dyDescent="0.25">
      <c r="A38" t="s">
        <v>114</v>
      </c>
    </row>
    <row r="39" spans="1:16" x14ac:dyDescent="0.25">
      <c r="A39" t="s">
        <v>110</v>
      </c>
    </row>
  </sheetData>
  <mergeCells count="4">
    <mergeCell ref="B2:P2"/>
    <mergeCell ref="B19:P19"/>
    <mergeCell ref="B28:P28"/>
    <mergeCell ref="B36:L3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T24"/>
  <sheetViews>
    <sheetView showGridLines="0" zoomScaleNormal="100" workbookViewId="0">
      <selection activeCell="D3" sqref="D3"/>
    </sheetView>
  </sheetViews>
  <sheetFormatPr baseColWidth="10" defaultRowHeight="15" x14ac:dyDescent="0.25"/>
  <cols>
    <col min="1" max="1" width="5" customWidth="1"/>
    <col min="2" max="2" width="16.42578125" customWidth="1"/>
    <col min="3" max="3" width="36.7109375" customWidth="1"/>
    <col min="4" max="4" width="20.42578125" customWidth="1"/>
    <col min="5" max="5" width="3.140625" customWidth="1"/>
    <col min="6" max="6" width="17.85546875" customWidth="1"/>
    <col min="7" max="7" width="20.7109375" customWidth="1"/>
    <col min="8" max="8" width="15" customWidth="1"/>
    <col min="9" max="9" width="14.5703125" customWidth="1"/>
    <col min="10" max="10" width="14.140625" customWidth="1"/>
    <col min="17" max="17" width="13.42578125" customWidth="1"/>
    <col min="18" max="19" width="12.5703125" customWidth="1"/>
  </cols>
  <sheetData>
    <row r="1" spans="2:20" x14ac:dyDescent="0.25">
      <c r="F1" s="83"/>
      <c r="G1" s="83"/>
      <c r="H1" s="83"/>
      <c r="I1" s="83"/>
      <c r="J1" s="83"/>
      <c r="K1" s="83"/>
      <c r="L1" s="83"/>
      <c r="M1" s="83"/>
      <c r="N1" s="83"/>
      <c r="O1" s="83"/>
      <c r="P1" s="83"/>
      <c r="Q1" s="83"/>
      <c r="R1" s="83"/>
      <c r="S1" s="83"/>
      <c r="T1" s="83"/>
    </row>
    <row r="2" spans="2:20" x14ac:dyDescent="0.25">
      <c r="F2" s="83"/>
      <c r="G2" s="83"/>
      <c r="H2" s="83"/>
      <c r="I2" s="83"/>
      <c r="J2" s="83"/>
      <c r="K2" s="83"/>
      <c r="L2" s="83"/>
      <c r="M2" s="83"/>
      <c r="N2" s="83"/>
      <c r="O2" s="83"/>
      <c r="P2" s="83"/>
      <c r="Q2" s="83"/>
      <c r="R2" s="83"/>
      <c r="S2" s="83"/>
      <c r="T2" s="83"/>
    </row>
    <row r="3" spans="2:20" x14ac:dyDescent="0.25">
      <c r="F3" s="83"/>
      <c r="G3" s="83"/>
      <c r="H3" s="83"/>
      <c r="I3" s="83"/>
      <c r="J3" s="83"/>
      <c r="K3" s="83"/>
      <c r="L3" s="83"/>
      <c r="M3" s="83"/>
      <c r="N3" s="83"/>
      <c r="O3" s="83"/>
      <c r="P3" s="83"/>
      <c r="Q3" s="83"/>
      <c r="R3" s="83"/>
      <c r="S3" s="83"/>
      <c r="T3" s="83"/>
    </row>
    <row r="4" spans="2:20" ht="15.75" thickBot="1" x14ac:dyDescent="0.3">
      <c r="F4" s="83"/>
      <c r="G4" s="83"/>
      <c r="H4" s="83"/>
      <c r="I4" s="83"/>
      <c r="J4" s="83"/>
      <c r="K4" s="83"/>
      <c r="L4" s="83"/>
      <c r="M4" s="83"/>
      <c r="N4" s="83"/>
      <c r="O4" s="83"/>
      <c r="P4" s="83"/>
      <c r="Q4" s="83"/>
      <c r="R4" s="83"/>
      <c r="S4" s="83"/>
      <c r="T4" s="83"/>
    </row>
    <row r="5" spans="2:20" ht="16.5" thickBot="1" x14ac:dyDescent="0.3">
      <c r="F5" s="256" t="s">
        <v>67</v>
      </c>
      <c r="G5" s="257"/>
      <c r="H5" s="257"/>
      <c r="I5" s="257"/>
      <c r="J5" s="258"/>
      <c r="K5" s="83"/>
      <c r="L5" s="83"/>
      <c r="M5" s="83"/>
      <c r="N5" s="83"/>
      <c r="O5" s="83"/>
      <c r="P5" s="83"/>
      <c r="Q5" s="83"/>
      <c r="R5" s="83"/>
      <c r="S5" s="83"/>
      <c r="T5" s="83"/>
    </row>
    <row r="6" spans="2:20" ht="19.5" customHeight="1" thickBot="1" x14ac:dyDescent="0.3">
      <c r="B6" s="256" t="s">
        <v>62</v>
      </c>
      <c r="C6" s="262"/>
      <c r="D6" s="263"/>
      <c r="E6" s="23"/>
      <c r="F6" s="63"/>
      <c r="G6" s="63"/>
      <c r="H6" s="254" t="s">
        <v>50</v>
      </c>
      <c r="I6" s="255"/>
      <c r="J6" s="81" t="s">
        <v>52</v>
      </c>
      <c r="Q6" s="82" t="s">
        <v>50</v>
      </c>
      <c r="R6" s="82" t="s">
        <v>50</v>
      </c>
      <c r="S6" s="82" t="s">
        <v>51</v>
      </c>
      <c r="T6" s="83"/>
    </row>
    <row r="7" spans="2:20" ht="12" customHeight="1" thickBot="1" x14ac:dyDescent="0.3">
      <c r="B7" s="23"/>
      <c r="C7" s="23"/>
      <c r="D7" s="23"/>
      <c r="E7" s="23"/>
      <c r="F7" s="63"/>
      <c r="G7" s="63"/>
      <c r="H7" s="60" t="s">
        <v>65</v>
      </c>
      <c r="I7" s="60" t="s">
        <v>64</v>
      </c>
      <c r="J7" s="60" t="s">
        <v>64</v>
      </c>
      <c r="Q7" s="60" t="s">
        <v>65</v>
      </c>
      <c r="R7" s="60" t="s">
        <v>64</v>
      </c>
      <c r="S7" s="60" t="s">
        <v>64</v>
      </c>
      <c r="T7" s="83"/>
    </row>
    <row r="8" spans="2:20" ht="18.75" customHeight="1" thickBot="1" x14ac:dyDescent="0.3">
      <c r="B8" s="259" t="s">
        <v>63</v>
      </c>
      <c r="C8" s="24" t="s">
        <v>13</v>
      </c>
      <c r="D8" s="25" t="s">
        <v>34</v>
      </c>
      <c r="E8" s="23"/>
      <c r="F8" s="63"/>
      <c r="G8" s="58" t="s">
        <v>13</v>
      </c>
      <c r="H8" s="59" t="s">
        <v>34</v>
      </c>
      <c r="I8" s="59" t="s">
        <v>34</v>
      </c>
      <c r="J8" s="64" t="s">
        <v>34</v>
      </c>
      <c r="Q8" s="65" t="s">
        <v>28</v>
      </c>
      <c r="R8" s="65" t="s">
        <v>28</v>
      </c>
      <c r="S8" s="65" t="s">
        <v>28</v>
      </c>
      <c r="T8" s="83"/>
    </row>
    <row r="9" spans="2:20" ht="18" customHeight="1" thickBot="1" x14ac:dyDescent="0.3">
      <c r="B9" s="260"/>
      <c r="C9" s="26" t="s">
        <v>14</v>
      </c>
      <c r="D9" s="27">
        <f>'Expo Limon Mercados acum sem 30'!D8</f>
        <v>15983.97</v>
      </c>
      <c r="E9" s="23"/>
      <c r="F9" s="251" t="s">
        <v>66</v>
      </c>
      <c r="G9" s="55" t="s">
        <v>29</v>
      </c>
      <c r="H9" s="66">
        <f>(Q9*15)/1000</f>
        <v>22738.035</v>
      </c>
      <c r="I9" s="78">
        <f>(R9*15)/1000</f>
        <v>24552.78</v>
      </c>
      <c r="J9" s="66">
        <f t="shared" ref="I9:J13" si="0">(S9*15)/1000</f>
        <v>24913.605</v>
      </c>
      <c r="Q9" s="69">
        <v>1515869</v>
      </c>
      <c r="R9" s="69">
        <v>1636852</v>
      </c>
      <c r="S9" s="69">
        <v>1660907</v>
      </c>
      <c r="T9" s="83"/>
    </row>
    <row r="10" spans="2:20" ht="16.5" customHeight="1" thickBot="1" x14ac:dyDescent="0.3">
      <c r="B10" s="260"/>
      <c r="C10" s="26" t="s">
        <v>15</v>
      </c>
      <c r="D10" s="27">
        <f>'Expo Limon Mercados acum sem 30'!D9</f>
        <v>6179.29</v>
      </c>
      <c r="E10" s="23"/>
      <c r="F10" s="252"/>
      <c r="G10" s="56" t="s">
        <v>19</v>
      </c>
      <c r="H10" s="66">
        <f t="shared" ref="H10:H13" si="1">(Q10*15)/1000</f>
        <v>32180.25</v>
      </c>
      <c r="I10" s="79">
        <f t="shared" si="0"/>
        <v>32907.360000000001</v>
      </c>
      <c r="J10" s="67">
        <f t="shared" si="0"/>
        <v>27747.404999999999</v>
      </c>
      <c r="Q10" s="70">
        <v>2145350</v>
      </c>
      <c r="R10" s="70">
        <v>2193824</v>
      </c>
      <c r="S10" s="70">
        <v>1849827</v>
      </c>
      <c r="T10" s="83"/>
    </row>
    <row r="11" spans="2:20" ht="18.75" customHeight="1" thickBot="1" x14ac:dyDescent="0.3">
      <c r="B11" s="260"/>
      <c r="C11" s="26" t="s">
        <v>16</v>
      </c>
      <c r="D11" s="27">
        <f>'Expo Limon Mercados acum sem 30'!D10</f>
        <v>12081.62</v>
      </c>
      <c r="E11" s="23"/>
      <c r="F11" s="252"/>
      <c r="G11" s="56" t="s">
        <v>30</v>
      </c>
      <c r="H11" s="66">
        <f t="shared" si="1"/>
        <v>104494.05</v>
      </c>
      <c r="I11" s="79">
        <f t="shared" si="0"/>
        <v>115130.01</v>
      </c>
      <c r="J11" s="67">
        <f t="shared" si="0"/>
        <v>98058.42</v>
      </c>
      <c r="Q11" s="70">
        <v>6966270</v>
      </c>
      <c r="R11" s="70">
        <v>7675334</v>
      </c>
      <c r="S11" s="70">
        <v>6537228</v>
      </c>
    </row>
    <row r="12" spans="2:20" ht="16.5" thickBot="1" x14ac:dyDescent="0.3">
      <c r="B12" s="260"/>
      <c r="C12" s="26" t="s">
        <v>17</v>
      </c>
      <c r="D12" s="27">
        <f>'Expo Limon Mercados acum sem 30'!D11</f>
        <v>29879.98</v>
      </c>
      <c r="E12" s="23"/>
      <c r="F12" s="252"/>
      <c r="G12" s="56" t="s">
        <v>36</v>
      </c>
      <c r="H12" s="66">
        <f t="shared" si="1"/>
        <v>15683.94</v>
      </c>
      <c r="I12" s="79">
        <f t="shared" si="0"/>
        <v>16199.07</v>
      </c>
      <c r="J12" s="67">
        <f t="shared" si="0"/>
        <v>13323.105</v>
      </c>
      <c r="Q12" s="70">
        <v>1045596</v>
      </c>
      <c r="R12" s="70">
        <v>1079938</v>
      </c>
      <c r="S12" s="70">
        <v>888207</v>
      </c>
    </row>
    <row r="13" spans="2:20" ht="16.5" thickBot="1" x14ac:dyDescent="0.3">
      <c r="B13" s="260"/>
      <c r="C13" s="54" t="s">
        <v>18</v>
      </c>
      <c r="D13" s="61">
        <f>SUM(D9:D12)</f>
        <v>64124.86</v>
      </c>
      <c r="E13" s="23"/>
      <c r="F13" s="253"/>
      <c r="G13" s="57" t="s">
        <v>22</v>
      </c>
      <c r="H13" s="66">
        <f t="shared" si="1"/>
        <v>126368.52</v>
      </c>
      <c r="I13" s="80">
        <f t="shared" si="0"/>
        <v>131883.435</v>
      </c>
      <c r="J13" s="68">
        <f t="shared" si="0"/>
        <v>135690.375</v>
      </c>
      <c r="Q13" s="71">
        <f>112480+177601+6691782+1442705</f>
        <v>8424568</v>
      </c>
      <c r="R13" s="71">
        <f>120600+183763+6929149+1558717</f>
        <v>8792229</v>
      </c>
      <c r="S13" s="71">
        <f>125890+71303+7798068+1050764</f>
        <v>9046025</v>
      </c>
    </row>
    <row r="14" spans="2:20" ht="16.5" customHeight="1" thickBot="1" x14ac:dyDescent="0.3">
      <c r="B14" s="260"/>
      <c r="C14" s="28" t="s">
        <v>23</v>
      </c>
      <c r="D14" s="29">
        <f>'Expo Limon Mercados acum sem 30'!D15</f>
        <v>3892.57</v>
      </c>
      <c r="E14" s="23"/>
      <c r="F14" s="45"/>
      <c r="G14" s="36" t="s">
        <v>6</v>
      </c>
      <c r="H14" s="73">
        <f>SUM(H9:H13)</f>
        <v>301464.79500000004</v>
      </c>
      <c r="I14" s="73">
        <f>SUM(I9:I13)</f>
        <v>320672.65500000003</v>
      </c>
      <c r="J14" s="73">
        <f>SUM(J9:J13)</f>
        <v>299732.91000000003</v>
      </c>
      <c r="Q14" s="74">
        <f>SUM(Q9:Q13)</f>
        <v>20097653</v>
      </c>
      <c r="R14" s="74">
        <f>SUM(R9:R13)</f>
        <v>21378177</v>
      </c>
      <c r="S14" s="74">
        <f>SUM(S9:S13)</f>
        <v>19982194</v>
      </c>
    </row>
    <row r="15" spans="2:20" ht="15.75" x14ac:dyDescent="0.25">
      <c r="B15" s="260"/>
      <c r="C15" s="28" t="s">
        <v>19</v>
      </c>
      <c r="D15" s="29">
        <f>'Expo Limon Mercados acum sem 30'!D13</f>
        <v>27040.58</v>
      </c>
      <c r="E15" s="23"/>
      <c r="F15" s="22" t="s">
        <v>27</v>
      </c>
    </row>
    <row r="16" spans="2:20" ht="18.75" x14ac:dyDescent="0.3">
      <c r="B16" s="260"/>
      <c r="C16" s="28" t="s">
        <v>20</v>
      </c>
      <c r="D16" s="29">
        <f>'Expo Limon Mercados acum sem 30'!D14</f>
        <v>6586.15</v>
      </c>
      <c r="E16" s="23"/>
      <c r="F16" t="s">
        <v>47</v>
      </c>
      <c r="G16" s="34"/>
      <c r="H16" s="5"/>
      <c r="I16" s="5"/>
      <c r="J16" s="5"/>
    </row>
    <row r="17" spans="2:10" ht="16.5" thickBot="1" x14ac:dyDescent="0.3">
      <c r="B17" s="260"/>
      <c r="C17" s="28" t="s">
        <v>21</v>
      </c>
      <c r="D17" s="29">
        <f>'Expo Limon Mercados acum sem 30'!D16</f>
        <v>57728.68</v>
      </c>
      <c r="E17" s="23"/>
    </row>
    <row r="18" spans="2:10" ht="16.5" customHeight="1" thickBot="1" x14ac:dyDescent="0.3">
      <c r="B18" s="260"/>
      <c r="C18" s="28" t="s">
        <v>36</v>
      </c>
      <c r="D18" s="29">
        <v>6983.63</v>
      </c>
      <c r="E18" s="23"/>
      <c r="F18" s="256" t="s">
        <v>70</v>
      </c>
      <c r="G18" s="257"/>
      <c r="H18" s="257"/>
      <c r="I18" s="257"/>
      <c r="J18" s="258"/>
    </row>
    <row r="19" spans="2:10" ht="16.5" thickBot="1" x14ac:dyDescent="0.3">
      <c r="B19" s="261"/>
      <c r="C19" s="28" t="s">
        <v>37</v>
      </c>
      <c r="D19" s="29">
        <f>'Expo Limon Mercados acum sem 30'!D17-D18</f>
        <v>13571.75</v>
      </c>
      <c r="E19" s="30"/>
      <c r="F19" s="63"/>
      <c r="G19" s="63"/>
      <c r="H19" s="254" t="s">
        <v>50</v>
      </c>
      <c r="I19" s="255"/>
      <c r="J19" s="81" t="s">
        <v>52</v>
      </c>
    </row>
    <row r="20" spans="2:10" ht="16.5" thickBot="1" x14ac:dyDescent="0.3">
      <c r="B20" s="23"/>
      <c r="C20" s="31" t="s">
        <v>35</v>
      </c>
      <c r="D20" s="32">
        <f>SUM(D14:D19)</f>
        <v>115803.36000000002</v>
      </c>
      <c r="E20" s="23"/>
      <c r="F20" s="63"/>
      <c r="G20" s="63"/>
      <c r="H20" s="60" t="s">
        <v>65</v>
      </c>
      <c r="I20" s="60" t="s">
        <v>64</v>
      </c>
      <c r="J20" s="60" t="s">
        <v>64</v>
      </c>
    </row>
    <row r="21" spans="2:10" ht="19.5" thickBot="1" x14ac:dyDescent="0.3">
      <c r="B21" s="23"/>
      <c r="C21" s="33" t="s">
        <v>6</v>
      </c>
      <c r="D21" s="72">
        <f>+D13+D20</f>
        <v>179928.22000000003</v>
      </c>
      <c r="E21" s="23"/>
      <c r="F21" s="63"/>
      <c r="G21" s="58" t="s">
        <v>13</v>
      </c>
      <c r="H21" s="59" t="s">
        <v>34</v>
      </c>
      <c r="I21" s="59" t="s">
        <v>34</v>
      </c>
      <c r="J21" s="64" t="s">
        <v>34</v>
      </c>
    </row>
    <row r="22" spans="2:10" ht="20.25" customHeight="1" thickTop="1" thickBot="1" x14ac:dyDescent="0.35">
      <c r="B22" s="5"/>
      <c r="C22" s="5"/>
      <c r="D22" s="5"/>
      <c r="E22" s="5"/>
      <c r="F22" s="249" t="s">
        <v>71</v>
      </c>
      <c r="G22" s="55" t="s">
        <v>68</v>
      </c>
      <c r="H22" s="66">
        <f>(Q22*15)/1000</f>
        <v>0</v>
      </c>
      <c r="I22" s="78">
        <v>27779</v>
      </c>
      <c r="J22" s="66">
        <v>25829</v>
      </c>
    </row>
    <row r="23" spans="2:10" ht="16.5" thickBot="1" x14ac:dyDescent="0.3">
      <c r="B23" s="22" t="s">
        <v>38</v>
      </c>
      <c r="C23" s="34"/>
      <c r="D23" s="35"/>
      <c r="E23" s="35"/>
      <c r="F23" s="250"/>
      <c r="G23" s="56" t="s">
        <v>69</v>
      </c>
      <c r="H23" s="66">
        <f t="shared" ref="H23" si="2">(Q23*15)/1000</f>
        <v>0</v>
      </c>
      <c r="I23" s="79">
        <v>2370</v>
      </c>
      <c r="J23" s="67">
        <v>2872</v>
      </c>
    </row>
    <row r="24" spans="2:10" ht="16.5" thickBot="1" x14ac:dyDescent="0.3">
      <c r="B24" t="s">
        <v>39</v>
      </c>
      <c r="C24" s="34"/>
      <c r="D24" s="35"/>
      <c r="E24" s="35"/>
      <c r="F24" s="63"/>
      <c r="G24" s="36" t="s">
        <v>6</v>
      </c>
      <c r="H24" s="73">
        <f>SUM(H22:H23)</f>
        <v>0</v>
      </c>
      <c r="I24" s="73">
        <f>SUM(I22:I23)</f>
        <v>30149</v>
      </c>
      <c r="J24" s="73">
        <f>SUM(J22:J23)</f>
        <v>28701</v>
      </c>
    </row>
  </sheetData>
  <mergeCells count="8">
    <mergeCell ref="F22:F23"/>
    <mergeCell ref="F9:F13"/>
    <mergeCell ref="H6:I6"/>
    <mergeCell ref="F5:J5"/>
    <mergeCell ref="B8:B19"/>
    <mergeCell ref="B6:D6"/>
    <mergeCell ref="F18:J18"/>
    <mergeCell ref="H19:I1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H17"/>
  <sheetViews>
    <sheetView showGridLines="0" zoomScaleNormal="100" workbookViewId="0">
      <selection activeCell="C20" sqref="C20"/>
    </sheetView>
  </sheetViews>
  <sheetFormatPr baseColWidth="10" defaultRowHeight="15" x14ac:dyDescent="0.25"/>
  <cols>
    <col min="1" max="1" width="6.5703125" customWidth="1"/>
    <col min="2" max="2" width="16.7109375" customWidth="1"/>
    <col min="3" max="4" width="14.7109375" customWidth="1"/>
    <col min="5" max="5" width="15.85546875" customWidth="1"/>
    <col min="6" max="6" width="16.140625" customWidth="1"/>
  </cols>
  <sheetData>
    <row r="1" spans="1:8" ht="15.75" x14ac:dyDescent="0.25">
      <c r="B1" s="23"/>
      <c r="C1" s="23"/>
      <c r="D1" s="23"/>
      <c r="E1" s="23"/>
      <c r="F1" s="23"/>
    </row>
    <row r="2" spans="1:8" ht="15.75" x14ac:dyDescent="0.25">
      <c r="B2" s="21" t="s">
        <v>54</v>
      </c>
      <c r="C2" s="21"/>
      <c r="D2" s="21"/>
      <c r="E2" s="21"/>
      <c r="F2" s="23"/>
    </row>
    <row r="3" spans="1:8" ht="16.5" thickBot="1" x14ac:dyDescent="0.3">
      <c r="B3" s="21"/>
      <c r="C3" s="21"/>
      <c r="D3" s="21"/>
      <c r="E3" s="21"/>
      <c r="F3" s="23"/>
    </row>
    <row r="4" spans="1:8" ht="16.5" thickBot="1" x14ac:dyDescent="0.3">
      <c r="B4" s="41"/>
      <c r="C4" s="42"/>
      <c r="D4" s="42"/>
      <c r="E4" s="43" t="s">
        <v>41</v>
      </c>
      <c r="F4" s="44" t="s">
        <v>42</v>
      </c>
    </row>
    <row r="5" spans="1:8" ht="15.75" x14ac:dyDescent="0.25">
      <c r="B5" s="266" t="s">
        <v>23</v>
      </c>
      <c r="C5" s="37" t="s">
        <v>32</v>
      </c>
      <c r="D5" s="38">
        <f>'Cargas RSA y ARG'!D14</f>
        <v>3892.57</v>
      </c>
      <c r="E5" s="264">
        <f>D5/D6-1</f>
        <v>-0.84146112985983668</v>
      </c>
      <c r="F5" s="268">
        <f>D5-D6</f>
        <v>-20660.21</v>
      </c>
    </row>
    <row r="6" spans="1:8" ht="16.5" thickBot="1" x14ac:dyDescent="0.3">
      <c r="B6" s="267"/>
      <c r="C6" s="39" t="s">
        <v>33</v>
      </c>
      <c r="D6" s="40">
        <f>'Cargas RSA y ARG'!I9</f>
        <v>24552.78</v>
      </c>
      <c r="E6" s="265"/>
      <c r="F6" s="269"/>
      <c r="H6" s="53"/>
    </row>
    <row r="7" spans="1:8" ht="15.75" x14ac:dyDescent="0.25">
      <c r="B7" s="266" t="s">
        <v>30</v>
      </c>
      <c r="C7" s="37" t="s">
        <v>32</v>
      </c>
      <c r="D7" s="38">
        <f>'Cargas RSA y ARG'!D13</f>
        <v>64124.86</v>
      </c>
      <c r="E7" s="264">
        <f t="shared" ref="E7:E13" si="0">D7/D8-1</f>
        <v>-0.44302219725334857</v>
      </c>
      <c r="F7" s="268">
        <f>D7-D8</f>
        <v>-51005.149999999994</v>
      </c>
    </row>
    <row r="8" spans="1:8" ht="16.5" customHeight="1" thickBot="1" x14ac:dyDescent="0.3">
      <c r="B8" s="267"/>
      <c r="C8" s="39" t="s">
        <v>33</v>
      </c>
      <c r="D8" s="40">
        <f>'Cargas RSA y ARG'!I11</f>
        <v>115130.01</v>
      </c>
      <c r="E8" s="265"/>
      <c r="F8" s="269"/>
    </row>
    <row r="9" spans="1:8" ht="15.75" x14ac:dyDescent="0.25">
      <c r="B9" s="266" t="s">
        <v>19</v>
      </c>
      <c r="C9" s="37" t="s">
        <v>32</v>
      </c>
      <c r="D9" s="38">
        <f>'Cargas RSA y ARG'!D15</f>
        <v>27040.58</v>
      </c>
      <c r="E9" s="264">
        <f t="shared" si="0"/>
        <v>-0.1782816974682867</v>
      </c>
      <c r="F9" s="268">
        <f>D9-D10</f>
        <v>-5866.7799999999988</v>
      </c>
    </row>
    <row r="10" spans="1:8" ht="16.5" customHeight="1" thickBot="1" x14ac:dyDescent="0.3">
      <c r="B10" s="267"/>
      <c r="C10" s="39" t="s">
        <v>33</v>
      </c>
      <c r="D10" s="40">
        <f>'Cargas RSA y ARG'!I10</f>
        <v>32907.360000000001</v>
      </c>
      <c r="E10" s="265"/>
      <c r="F10" s="269"/>
    </row>
    <row r="11" spans="1:8" ht="15.75" x14ac:dyDescent="0.25">
      <c r="B11" s="266" t="s">
        <v>36</v>
      </c>
      <c r="C11" s="37" t="s">
        <v>32</v>
      </c>
      <c r="D11" s="38">
        <f>'Cargas RSA y ARG'!D18</f>
        <v>6983.63</v>
      </c>
      <c r="E11" s="264">
        <f t="shared" si="0"/>
        <v>-0.56888697931424459</v>
      </c>
      <c r="F11" s="268">
        <f>D11-D12</f>
        <v>-9215.4399999999987</v>
      </c>
    </row>
    <row r="12" spans="1:8" ht="16.5" thickBot="1" x14ac:dyDescent="0.3">
      <c r="B12" s="267"/>
      <c r="C12" s="39" t="s">
        <v>33</v>
      </c>
      <c r="D12" s="40">
        <f>'Cargas RSA y ARG'!I12</f>
        <v>16199.07</v>
      </c>
      <c r="E12" s="265"/>
      <c r="F12" s="269"/>
    </row>
    <row r="13" spans="1:8" ht="15.75" x14ac:dyDescent="0.25">
      <c r="B13" s="266" t="s">
        <v>31</v>
      </c>
      <c r="C13" s="37" t="s">
        <v>32</v>
      </c>
      <c r="D13" s="38">
        <f>'Cargas RSA y ARG'!D19</f>
        <v>13571.75</v>
      </c>
      <c r="E13" s="264">
        <f t="shared" si="0"/>
        <v>-0.89709283808084006</v>
      </c>
      <c r="F13" s="268">
        <f>D13-D14</f>
        <v>-118311.685</v>
      </c>
    </row>
    <row r="14" spans="1:8" ht="16.5" thickBot="1" x14ac:dyDescent="0.3">
      <c r="B14" s="267"/>
      <c r="C14" s="39" t="s">
        <v>33</v>
      </c>
      <c r="D14" s="40">
        <f>'Cargas RSA y ARG'!I13</f>
        <v>131883.435</v>
      </c>
      <c r="E14" s="265"/>
      <c r="F14" s="269"/>
    </row>
    <row r="15" spans="1:8" ht="18.75" x14ac:dyDescent="0.3">
      <c r="B15" s="5"/>
      <c r="C15" s="5"/>
      <c r="D15" s="5"/>
      <c r="E15" s="5"/>
    </row>
    <row r="16" spans="1:8" ht="18.75" x14ac:dyDescent="0.3">
      <c r="A16" s="22" t="s">
        <v>38</v>
      </c>
      <c r="B16" s="34"/>
      <c r="C16" s="5"/>
      <c r="D16" s="5"/>
      <c r="E16" s="5"/>
    </row>
    <row r="17" spans="1:2" ht="15.75" x14ac:dyDescent="0.25">
      <c r="A17" t="s">
        <v>46</v>
      </c>
      <c r="B17" s="34"/>
    </row>
  </sheetData>
  <mergeCells count="15">
    <mergeCell ref="F5:F6"/>
    <mergeCell ref="F7:F8"/>
    <mergeCell ref="F9:F10"/>
    <mergeCell ref="F11:F12"/>
    <mergeCell ref="F13:F14"/>
    <mergeCell ref="B5:B6"/>
    <mergeCell ref="B7:B8"/>
    <mergeCell ref="B9:B10"/>
    <mergeCell ref="B11:B12"/>
    <mergeCell ref="B13:B14"/>
    <mergeCell ref="E5:E6"/>
    <mergeCell ref="E7:E8"/>
    <mergeCell ref="E9:E10"/>
    <mergeCell ref="E11:E12"/>
    <mergeCell ref="E13:E1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M11"/>
  <sheetViews>
    <sheetView tabSelected="1" workbookViewId="0">
      <selection activeCell="D9" sqref="D9"/>
    </sheetView>
  </sheetViews>
  <sheetFormatPr baseColWidth="10" defaultRowHeight="15" x14ac:dyDescent="0.25"/>
  <cols>
    <col min="2" max="2" width="16.28515625" customWidth="1"/>
  </cols>
  <sheetData>
    <row r="2" spans="1:13" ht="15.75" thickBot="1" x14ac:dyDescent="0.3"/>
    <row r="3" spans="1:13" ht="15.75" thickBot="1" x14ac:dyDescent="0.3">
      <c r="B3" s="102" t="s">
        <v>97</v>
      </c>
      <c r="C3" s="103">
        <v>22</v>
      </c>
      <c r="D3" s="103">
        <v>23</v>
      </c>
      <c r="E3" s="103">
        <v>24</v>
      </c>
      <c r="F3" s="103">
        <v>25</v>
      </c>
      <c r="G3" s="103">
        <v>26</v>
      </c>
      <c r="H3" s="103">
        <v>27</v>
      </c>
      <c r="I3" s="103">
        <v>28</v>
      </c>
      <c r="J3" s="103">
        <v>29</v>
      </c>
      <c r="K3" s="103">
        <v>30</v>
      </c>
      <c r="L3" s="104">
        <v>31</v>
      </c>
      <c r="M3" s="105">
        <v>32</v>
      </c>
    </row>
    <row r="4" spans="1:13" x14ac:dyDescent="0.25">
      <c r="A4" s="106" t="s">
        <v>98</v>
      </c>
      <c r="B4" s="107" t="s">
        <v>21</v>
      </c>
      <c r="C4" s="108">
        <v>18869.05</v>
      </c>
      <c r="D4" s="76">
        <f>5947.5908+C4</f>
        <v>24816.640800000001</v>
      </c>
      <c r="E4" s="76">
        <f>5806.2722+D4</f>
        <v>30622.913</v>
      </c>
      <c r="F4" s="76">
        <f>4428.1592+E4</f>
        <v>35051.072200000002</v>
      </c>
      <c r="G4" s="76">
        <f>6463.2186+F4</f>
        <v>41514.290800000002</v>
      </c>
      <c r="H4" s="76">
        <f>4210.057+G4</f>
        <v>45724.347800000003</v>
      </c>
      <c r="I4" s="76">
        <f>4956.843888+H4</f>
        <v>50681.191688000006</v>
      </c>
      <c r="J4" s="76">
        <f>5305.3275286+I4</f>
        <v>55986.519216600005</v>
      </c>
      <c r="K4" s="76">
        <f>1742.16+J4</f>
        <v>57728.679216600009</v>
      </c>
      <c r="L4" s="109"/>
      <c r="M4" s="110"/>
    </row>
    <row r="5" spans="1:13" x14ac:dyDescent="0.25">
      <c r="B5" s="111" t="s">
        <v>49</v>
      </c>
      <c r="C5" s="108">
        <v>5973.98</v>
      </c>
      <c r="D5" s="76">
        <f>4268.103+C5</f>
        <v>10242.082999999999</v>
      </c>
      <c r="E5" s="76">
        <f>5785.992+D5</f>
        <v>16028.074999999999</v>
      </c>
      <c r="F5" s="76">
        <f>8392.48600000001+E5</f>
        <v>24420.561000000009</v>
      </c>
      <c r="G5" s="76">
        <f>12067.777272+F5</f>
        <v>36488.338272000008</v>
      </c>
      <c r="H5" s="76">
        <f>4437.069+G5</f>
        <v>40925.407272000011</v>
      </c>
      <c r="I5" s="76">
        <f>10895.329+H5</f>
        <v>51820.736272000009</v>
      </c>
      <c r="J5" s="76">
        <f>7000.81700000001+I5</f>
        <v>58821.553272000019</v>
      </c>
      <c r="K5" s="76">
        <f>5303.31900000001+J5</f>
        <v>64124.87227200003</v>
      </c>
      <c r="L5" s="108"/>
      <c r="M5" s="112"/>
    </row>
    <row r="6" spans="1:13" x14ac:dyDescent="0.25">
      <c r="B6" s="111" t="s">
        <v>99</v>
      </c>
      <c r="C6" s="108">
        <v>15710.267</v>
      </c>
      <c r="D6" s="76">
        <f>2135.19+C6</f>
        <v>17845.456999999999</v>
      </c>
      <c r="E6" s="76">
        <f>761.634+D6</f>
        <v>18607.091</v>
      </c>
      <c r="F6" s="76">
        <f>2165.154+E6</f>
        <v>20772.244999999999</v>
      </c>
      <c r="G6" s="76">
        <f>2004.552+F6</f>
        <v>22776.796999999999</v>
      </c>
      <c r="H6" s="76">
        <f>1327.518+G6</f>
        <v>24104.314999999999</v>
      </c>
      <c r="I6" s="76">
        <f>1529.89919+H6</f>
        <v>25634.214189999999</v>
      </c>
      <c r="J6" s="76">
        <f>830.319+I6</f>
        <v>26464.533189999998</v>
      </c>
      <c r="K6" s="76">
        <f>576.054+J6</f>
        <v>27040.587189999998</v>
      </c>
      <c r="L6" s="108"/>
      <c r="M6" s="112"/>
    </row>
    <row r="7" spans="1:13" ht="15.75" thickBot="1" x14ac:dyDescent="0.3">
      <c r="B7" s="113" t="s">
        <v>100</v>
      </c>
      <c r="C7" s="108">
        <v>13970.4</v>
      </c>
      <c r="D7" s="76">
        <f>3668.4464+C7</f>
        <v>17638.846399999999</v>
      </c>
      <c r="E7" s="76">
        <f>2050.7296+D7</f>
        <v>19689.575999999997</v>
      </c>
      <c r="F7" s="76">
        <f>1940.2308+E7</f>
        <v>21629.806799999998</v>
      </c>
      <c r="G7" s="76">
        <f>2892.4248+F7</f>
        <v>24522.231599999999</v>
      </c>
      <c r="H7" s="76">
        <f>2118.064+G7</f>
        <v>26640.295599999998</v>
      </c>
      <c r="I7" s="76">
        <f>1885.4688+H7</f>
        <v>28525.764399999996</v>
      </c>
      <c r="J7" s="76">
        <f>1493+I7</f>
        <v>30018.764399999996</v>
      </c>
      <c r="K7" s="76">
        <f>1015.3431+J7</f>
        <v>31034.107499999998</v>
      </c>
      <c r="L7" s="114"/>
      <c r="M7" s="115"/>
    </row>
    <row r="8" spans="1:13" ht="15.75" thickBot="1" x14ac:dyDescent="0.3">
      <c r="B8" s="116" t="s">
        <v>88</v>
      </c>
      <c r="C8" s="117">
        <f t="shared" ref="C8:M8" si="0">SUM(C4:C7)</f>
        <v>54523.697</v>
      </c>
      <c r="D8" s="117">
        <f t="shared" si="0"/>
        <v>70543.027199999997</v>
      </c>
      <c r="E8" s="117">
        <f t="shared" si="0"/>
        <v>84947.654999999999</v>
      </c>
      <c r="F8" s="117">
        <f t="shared" si="0"/>
        <v>101873.685</v>
      </c>
      <c r="G8" s="117">
        <f t="shared" si="0"/>
        <v>125301.657672</v>
      </c>
      <c r="H8" s="117">
        <f t="shared" si="0"/>
        <v>137394.36567200001</v>
      </c>
      <c r="I8" s="117">
        <f t="shared" si="0"/>
        <v>156661.90655000001</v>
      </c>
      <c r="J8" s="117">
        <f t="shared" si="0"/>
        <v>171291.37007860001</v>
      </c>
      <c r="K8" s="117">
        <f t="shared" si="0"/>
        <v>179928.24617860001</v>
      </c>
      <c r="L8" s="118">
        <f t="shared" si="0"/>
        <v>0</v>
      </c>
      <c r="M8" s="119">
        <f t="shared" si="0"/>
        <v>0</v>
      </c>
    </row>
    <row r="9" spans="1:13" x14ac:dyDescent="0.25">
      <c r="B9" s="120" t="s">
        <v>101</v>
      </c>
      <c r="C9" s="109"/>
      <c r="D9" s="109">
        <f>+D8-C8</f>
        <v>16019.330199999997</v>
      </c>
      <c r="E9" s="109">
        <f>+E8-D8</f>
        <v>14404.627800000002</v>
      </c>
      <c r="F9" s="109">
        <f>+F8-E8</f>
        <v>16926.03</v>
      </c>
      <c r="G9" s="109">
        <f t="shared" ref="G9:J9" si="1">+G8-F8</f>
        <v>23427.972672000004</v>
      </c>
      <c r="H9" s="109">
        <f t="shared" si="1"/>
        <v>12092.708000000013</v>
      </c>
      <c r="I9" s="109">
        <f t="shared" si="1"/>
        <v>19267.540878</v>
      </c>
      <c r="J9" s="109">
        <f t="shared" si="1"/>
        <v>14629.463528599998</v>
      </c>
      <c r="K9" s="109"/>
      <c r="L9" s="109"/>
      <c r="M9" s="110"/>
    </row>
    <row r="10" spans="1:13" x14ac:dyDescent="0.25">
      <c r="B10" s="121" t="s">
        <v>102</v>
      </c>
      <c r="C10" s="108"/>
      <c r="D10" s="108">
        <f>+D4-C4</f>
        <v>5947.5908000000018</v>
      </c>
      <c r="E10" s="108">
        <f t="shared" ref="E10:J11" si="2">+E4-D4</f>
        <v>5806.2721999999994</v>
      </c>
      <c r="F10" s="108">
        <f t="shared" si="2"/>
        <v>4428.1592000000019</v>
      </c>
      <c r="G10" s="108">
        <f t="shared" si="2"/>
        <v>6463.2186000000002</v>
      </c>
      <c r="H10" s="108">
        <f t="shared" si="2"/>
        <v>4210.0570000000007</v>
      </c>
      <c r="I10" s="108">
        <f t="shared" si="2"/>
        <v>4956.8438880000031</v>
      </c>
      <c r="J10" s="108">
        <f t="shared" si="2"/>
        <v>5305.3275285999989</v>
      </c>
      <c r="K10" s="108"/>
      <c r="L10" s="108"/>
      <c r="M10" s="112"/>
    </row>
    <row r="11" spans="1:13" ht="15.75" thickBot="1" x14ac:dyDescent="0.3">
      <c r="B11" s="122" t="s">
        <v>103</v>
      </c>
      <c r="C11" s="123"/>
      <c r="D11" s="123">
        <f>+D5-C5</f>
        <v>4268.1029999999992</v>
      </c>
      <c r="E11" s="123">
        <f t="shared" si="2"/>
        <v>5785.9920000000002</v>
      </c>
      <c r="F11" s="123">
        <f t="shared" si="2"/>
        <v>8392.4860000000099</v>
      </c>
      <c r="G11" s="123">
        <f t="shared" si="2"/>
        <v>12067.777271999999</v>
      </c>
      <c r="H11" s="123">
        <f t="shared" si="2"/>
        <v>4437.0690000000031</v>
      </c>
      <c r="I11" s="123">
        <f t="shared" si="2"/>
        <v>10895.328999999998</v>
      </c>
      <c r="J11" s="123">
        <f t="shared" si="2"/>
        <v>7000.81700000001</v>
      </c>
      <c r="K11" s="123"/>
      <c r="L11" s="123"/>
      <c r="M11" s="124"/>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Expo Arg Citricos a sem 30</vt:lpstr>
      <vt:lpstr>Expo Limon Mercados acum sem 30</vt:lpstr>
      <vt:lpstr>Tn en pallets despa</vt:lpstr>
      <vt:lpstr>Cargas RSA y ARG</vt:lpstr>
      <vt:lpstr>Comparativo expo RSA y ARG</vt:lpstr>
      <vt:lpstr>Resumen Semanal destinos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Rovella</dc:creator>
  <cp:lastModifiedBy>Usuario de Windows</cp:lastModifiedBy>
  <dcterms:created xsi:type="dcterms:W3CDTF">2021-06-04T16:14:07Z</dcterms:created>
  <dcterms:modified xsi:type="dcterms:W3CDTF">2021-08-04T13:52:10Z</dcterms:modified>
</cp:coreProperties>
</file>