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Override PartName="/xl/charts/colors2.xml" ContentType="application/vnd.ms-office.chartcolorstyle+xml"/>
  <Override PartName="/xl/charts/style2.xml" ContentType="application/vnd.ms-office.chartstyle+xml"/>
  <Override PartName="/xl/charts/style3.xml" ContentType="application/vnd.ms-office.chartstyle+xml"/>
  <Override PartName="/xl/charts/colors3.xml" ContentType="application/vnd.ms-office.chartcolorstyle+xml"/>
  <Override PartName="/xl/charts/colors4.xml" ContentType="application/vnd.ms-office.chartcolorstyle+xml"/>
  <Override PartName="/xl/charts/style4.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hidePivotFieldList="1"/>
  <bookViews>
    <workbookView xWindow="20370" yWindow="-120" windowWidth="20730" windowHeight="11160" activeTab="2"/>
  </bookViews>
  <sheets>
    <sheet name="Expo Arg Citricos a sem 32" sheetId="1" r:id="rId1"/>
    <sheet name="Expo Limon Mercados acum sem 32" sheetId="2" r:id="rId2"/>
    <sheet name="Tn en pallets despach 130821" sheetId="8" r:id="rId3"/>
    <sheet name="Cargas RSA y ARG" sheetId="3" r:id="rId4"/>
    <sheet name="Comparativo expo RSA y ARG" sheetId="4" r:id="rId5"/>
    <sheet name="Comp semanas" sheetId="13" r:id="rId6"/>
    <sheet name="Empaque" sheetId="5" r:id="rId7"/>
    <sheet name="Puerto" sheetId="7" r:id="rId8"/>
    <sheet name="Destino" sheetId="12" r:id="rId9"/>
  </sheets>
  <externalReferences>
    <externalReference r:id="rId10"/>
  </externalReferences>
  <calcPr calcId="145621"/>
  <pivotCaches>
    <pivotCache cacheId="0" r:id="rId11"/>
  </pivotCaches>
</workbook>
</file>

<file path=xl/calcChain.xml><?xml version="1.0" encoding="utf-8"?>
<calcChain xmlns="http://schemas.openxmlformats.org/spreadsheetml/2006/main">
  <c r="D8" i="13" l="1"/>
  <c r="D9" i="13" s="1"/>
  <c r="C8" i="13"/>
  <c r="D7" i="13"/>
  <c r="E7" i="13" s="1"/>
  <c r="F7" i="13" s="1"/>
  <c r="G7" i="13" s="1"/>
  <c r="H7" i="13" s="1"/>
  <c r="I7" i="13" s="1"/>
  <c r="J7" i="13" s="1"/>
  <c r="K7" i="13" s="1"/>
  <c r="L7" i="13" s="1"/>
  <c r="M7" i="13" s="1"/>
  <c r="E6" i="13"/>
  <c r="F6" i="13" s="1"/>
  <c r="G6" i="13" s="1"/>
  <c r="H6" i="13" s="1"/>
  <c r="I6" i="13" s="1"/>
  <c r="J6" i="13" s="1"/>
  <c r="K6" i="13" s="1"/>
  <c r="L6" i="13" s="1"/>
  <c r="M6" i="13" s="1"/>
  <c r="D6" i="13"/>
  <c r="D5" i="13"/>
  <c r="E5" i="13" s="1"/>
  <c r="E4" i="13"/>
  <c r="E8" i="13" s="1"/>
  <c r="E9" i="13" s="1"/>
  <c r="D4" i="13"/>
  <c r="D10" i="13" s="1"/>
  <c r="E11" i="13" l="1"/>
  <c r="F5" i="13"/>
  <c r="E10" i="13"/>
  <c r="F4" i="13"/>
  <c r="D11" i="13"/>
  <c r="F8" i="13" l="1"/>
  <c r="F9" i="13" s="1"/>
  <c r="G4" i="13"/>
  <c r="F10" i="13"/>
  <c r="G5" i="13"/>
  <c r="F11" i="13"/>
  <c r="G10" i="13" l="1"/>
  <c r="G8" i="13"/>
  <c r="G9" i="13" s="1"/>
  <c r="H4" i="13"/>
  <c r="H5" i="13"/>
  <c r="G11" i="13"/>
  <c r="I5" i="13" l="1"/>
  <c r="H11" i="13"/>
  <c r="I4" i="13"/>
  <c r="H10" i="13"/>
  <c r="H8" i="13"/>
  <c r="H9" i="13" s="1"/>
  <c r="I8" i="13" l="1"/>
  <c r="I9" i="13" s="1"/>
  <c r="J4" i="13"/>
  <c r="I10" i="13"/>
  <c r="I11" i="13"/>
  <c r="J5" i="13"/>
  <c r="K4" i="13" l="1"/>
  <c r="J10" i="13"/>
  <c r="J8" i="13"/>
  <c r="J9" i="13" s="1"/>
  <c r="J11" i="13"/>
  <c r="K5" i="13"/>
  <c r="I12" i="2"/>
  <c r="D11" i="4"/>
  <c r="L5" i="13" l="1"/>
  <c r="K11" i="13"/>
  <c r="K10" i="13"/>
  <c r="K8" i="13"/>
  <c r="K9" i="13" s="1"/>
  <c r="L4" i="13"/>
  <c r="S13" i="3"/>
  <c r="R13" i="3"/>
  <c r="Q13" i="3"/>
  <c r="M18" i="8"/>
  <c r="D9" i="8"/>
  <c r="E9" i="8"/>
  <c r="F9" i="8"/>
  <c r="G9" i="8"/>
  <c r="H9" i="8"/>
  <c r="I9" i="8"/>
  <c r="J9" i="8"/>
  <c r="K9" i="8"/>
  <c r="L9" i="8"/>
  <c r="M9" i="8"/>
  <c r="N9" i="8"/>
  <c r="O9" i="8"/>
  <c r="C9" i="8"/>
  <c r="L10" i="13" l="1"/>
  <c r="L8" i="13"/>
  <c r="L9" i="13" s="1"/>
  <c r="M4" i="13"/>
  <c r="M5" i="13"/>
  <c r="M11" i="13" s="1"/>
  <c r="L11" i="13"/>
  <c r="M10" i="13" l="1"/>
  <c r="M8" i="13"/>
  <c r="M9" i="13" s="1"/>
  <c r="L30" i="8" l="1"/>
  <c r="K30" i="8"/>
  <c r="J30" i="8"/>
  <c r="I30" i="8"/>
  <c r="H30" i="8"/>
  <c r="G30" i="8"/>
  <c r="F30" i="8"/>
  <c r="E30" i="8"/>
  <c r="D30" i="8"/>
  <c r="C30" i="8"/>
  <c r="M29" i="8"/>
  <c r="M28" i="8"/>
  <c r="M27" i="8"/>
  <c r="L22" i="8"/>
  <c r="K22" i="8"/>
  <c r="J22" i="8"/>
  <c r="I22" i="8"/>
  <c r="H22" i="8"/>
  <c r="G22" i="8"/>
  <c r="F22" i="8"/>
  <c r="E22" i="8"/>
  <c r="D22" i="8"/>
  <c r="C22" i="8"/>
  <c r="M21" i="8"/>
  <c r="M20" i="8"/>
  <c r="M19" i="8"/>
  <c r="M17" i="8"/>
  <c r="P8" i="8"/>
  <c r="P7" i="8"/>
  <c r="P6" i="8"/>
  <c r="P5" i="8"/>
  <c r="P4" i="8"/>
  <c r="C27" i="7"/>
  <c r="C18" i="1"/>
  <c r="G17" i="1"/>
  <c r="D18" i="1"/>
  <c r="E18" i="1"/>
  <c r="F18" i="1"/>
  <c r="P9" i="8" l="1"/>
  <c r="M30" i="8"/>
  <c r="M22" i="8"/>
  <c r="L8" i="7"/>
  <c r="K8" i="7"/>
  <c r="M32" i="8" l="1"/>
  <c r="Q14" i="3"/>
  <c r="H10" i="3"/>
  <c r="H11" i="3"/>
  <c r="H12" i="3"/>
  <c r="H9" i="3"/>
  <c r="I9" i="3"/>
  <c r="E12" i="2"/>
  <c r="E18" i="2"/>
  <c r="H8" i="2"/>
  <c r="H13" i="3" l="1"/>
  <c r="E19" i="2"/>
  <c r="D27" i="7"/>
  <c r="E27" i="7"/>
  <c r="F27" i="7"/>
  <c r="G27" i="7"/>
  <c r="H27" i="7"/>
  <c r="I27" i="7"/>
  <c r="F11" i="7" l="1"/>
  <c r="C11" i="7"/>
  <c r="D11" i="7"/>
  <c r="I8" i="2"/>
  <c r="D10" i="3" l="1"/>
  <c r="G8" i="7" l="1"/>
  <c r="G9" i="7"/>
  <c r="G10" i="7"/>
  <c r="G7" i="7"/>
  <c r="E8" i="7"/>
  <c r="E9" i="7"/>
  <c r="E10" i="7"/>
  <c r="E7" i="7"/>
  <c r="E9" i="5"/>
  <c r="E8" i="5"/>
  <c r="E7" i="5"/>
  <c r="J7" i="5"/>
  <c r="J8" i="5"/>
  <c r="J9" i="5"/>
  <c r="J6" i="5"/>
  <c r="H6" i="5"/>
  <c r="H8" i="5"/>
  <c r="H9" i="5"/>
  <c r="H7" i="5"/>
  <c r="E6" i="5"/>
  <c r="K6" i="5" s="1"/>
  <c r="D10" i="5"/>
  <c r="C10" i="5"/>
  <c r="J13" i="3"/>
  <c r="R14" i="3"/>
  <c r="J12" i="3"/>
  <c r="J11" i="3"/>
  <c r="J10" i="3"/>
  <c r="J9" i="3"/>
  <c r="I10" i="3"/>
  <c r="D10" i="4" s="1"/>
  <c r="D6" i="4"/>
  <c r="I13" i="3"/>
  <c r="D14" i="4" s="1"/>
  <c r="I12" i="3"/>
  <c r="D12" i="4" s="1"/>
  <c r="I11" i="3"/>
  <c r="D8" i="4" s="1"/>
  <c r="D19" i="3"/>
  <c r="D17" i="3"/>
  <c r="D16" i="3"/>
  <c r="D15" i="3"/>
  <c r="D14" i="3"/>
  <c r="D12" i="3"/>
  <c r="D11" i="3"/>
  <c r="D9" i="3"/>
  <c r="M17" i="2"/>
  <c r="M16" i="2"/>
  <c r="M15" i="2"/>
  <c r="M14" i="2"/>
  <c r="M13" i="2"/>
  <c r="M11" i="2"/>
  <c r="M10" i="2"/>
  <c r="M9" i="2"/>
  <c r="M8" i="2"/>
  <c r="L8" i="2"/>
  <c r="L17" i="2"/>
  <c r="L16" i="2"/>
  <c r="L15" i="2"/>
  <c r="L14" i="2"/>
  <c r="L13" i="2"/>
  <c r="L11" i="2"/>
  <c r="L10" i="2"/>
  <c r="L9" i="2"/>
  <c r="K17" i="2"/>
  <c r="K16" i="2"/>
  <c r="K15" i="2"/>
  <c r="K14" i="2"/>
  <c r="K13" i="2"/>
  <c r="K11" i="2"/>
  <c r="K10" i="2"/>
  <c r="K9" i="2"/>
  <c r="K8" i="2"/>
  <c r="J17" i="2"/>
  <c r="J16" i="2"/>
  <c r="J15" i="2"/>
  <c r="J14" i="2"/>
  <c r="J13" i="2"/>
  <c r="J11" i="2"/>
  <c r="J10" i="2"/>
  <c r="J9" i="2"/>
  <c r="J8" i="2"/>
  <c r="I17" i="2"/>
  <c r="I16" i="2"/>
  <c r="I15" i="2"/>
  <c r="I14" i="2"/>
  <c r="I11" i="2"/>
  <c r="I10" i="2"/>
  <c r="I9" i="2"/>
  <c r="H17" i="2"/>
  <c r="H16" i="2"/>
  <c r="H15" i="2"/>
  <c r="H14" i="2"/>
  <c r="H13" i="2"/>
  <c r="H11" i="2"/>
  <c r="H10" i="2"/>
  <c r="H9" i="2"/>
  <c r="D18" i="2"/>
  <c r="D12" i="2"/>
  <c r="C18" i="2"/>
  <c r="C12" i="2"/>
  <c r="K9" i="5" l="1"/>
  <c r="K8" i="5"/>
  <c r="H10" i="5"/>
  <c r="K7" i="5"/>
  <c r="J10" i="5"/>
  <c r="H10" i="7"/>
  <c r="E11" i="7"/>
  <c r="H7" i="7"/>
  <c r="G11" i="7"/>
  <c r="E10" i="5"/>
  <c r="H8" i="7"/>
  <c r="H9" i="7"/>
  <c r="D13" i="3"/>
  <c r="I10" i="5"/>
  <c r="G10" i="5"/>
  <c r="F10" i="5"/>
  <c r="K10" i="5" l="1"/>
  <c r="H11" i="7"/>
  <c r="F12" i="2"/>
  <c r="L12" i="2" s="1"/>
  <c r="G12" i="2"/>
  <c r="G18" i="2"/>
  <c r="M18" i="2" s="1"/>
  <c r="M12" i="2" l="1"/>
  <c r="J12" i="2"/>
  <c r="G19" i="2"/>
  <c r="C19" i="2"/>
  <c r="I13" i="2"/>
  <c r="D20" i="3" l="1"/>
  <c r="D21" i="3" s="1"/>
  <c r="G16" i="1" l="1"/>
  <c r="G14" i="1"/>
  <c r="G15" i="1"/>
  <c r="I14" i="3"/>
  <c r="S14" i="3"/>
  <c r="L7" i="7" l="1"/>
  <c r="J19" i="5"/>
  <c r="K19" i="5" s="1"/>
  <c r="H14" i="3"/>
  <c r="D19" i="2"/>
  <c r="J14" i="3"/>
  <c r="D13" i="4" l="1"/>
  <c r="F11" i="4" l="1"/>
  <c r="F13" i="4"/>
  <c r="E13" i="4"/>
  <c r="E11" i="4"/>
  <c r="F18" i="2"/>
  <c r="H18" i="2"/>
  <c r="L18" i="2" l="1"/>
  <c r="I18" i="2"/>
  <c r="J18" i="2"/>
  <c r="K18" i="2"/>
  <c r="D9" i="4"/>
  <c r="F9" i="4" s="1"/>
  <c r="F19" i="2"/>
  <c r="D5" i="4"/>
  <c r="K12" i="2" l="1"/>
  <c r="H12" i="2"/>
  <c r="H19" i="2"/>
  <c r="M19" i="2"/>
  <c r="J19" i="2"/>
  <c r="I19" i="2"/>
  <c r="L19" i="2"/>
  <c r="E9" i="4"/>
  <c r="E5" i="4"/>
  <c r="F5" i="4"/>
  <c r="D7" i="4"/>
  <c r="F7" i="4" s="1"/>
  <c r="K19" i="2" l="1"/>
  <c r="E7" i="4"/>
  <c r="G11" i="1" l="1"/>
  <c r="G12" i="1"/>
  <c r="G13" i="1"/>
  <c r="G10" i="1"/>
  <c r="G18" i="1" l="1"/>
  <c r="E19" i="1" s="1"/>
  <c r="I19" i="5" l="1"/>
  <c r="K20" i="5" s="1"/>
  <c r="K7" i="7"/>
  <c r="C19" i="1"/>
  <c r="F19" i="1"/>
  <c r="D19" i="1"/>
  <c r="G19" i="1"/>
</calcChain>
</file>

<file path=xl/sharedStrings.xml><?xml version="1.0" encoding="utf-8"?>
<sst xmlns="http://schemas.openxmlformats.org/spreadsheetml/2006/main" count="326" uniqueCount="195">
  <si>
    <t>Cargado Real</t>
  </si>
  <si>
    <t>Meses de Carga</t>
  </si>
  <si>
    <t>Limon</t>
  </si>
  <si>
    <t>Pomelo</t>
  </si>
  <si>
    <t>Naranja</t>
  </si>
  <si>
    <t>Mandarina</t>
  </si>
  <si>
    <t>Total</t>
  </si>
  <si>
    <t>Enero</t>
  </si>
  <si>
    <t>Febrero</t>
  </si>
  <si>
    <t>Marzo</t>
  </si>
  <si>
    <t>Abril</t>
  </si>
  <si>
    <t>Mayo</t>
  </si>
  <si>
    <t>% Sobre el total</t>
  </si>
  <si>
    <t>Destinos</t>
  </si>
  <si>
    <t>Grecia y Balcanes</t>
  </si>
  <si>
    <t>Iberica</t>
  </si>
  <si>
    <t>Italia</t>
  </si>
  <si>
    <t>Norte Europa</t>
  </si>
  <si>
    <t>Sub Total UE</t>
  </si>
  <si>
    <t>Rusia</t>
  </si>
  <si>
    <t>Odessa-Ucrania</t>
  </si>
  <si>
    <t>USA</t>
  </si>
  <si>
    <t>Otros Destinos</t>
  </si>
  <si>
    <t>Reino Unido</t>
  </si>
  <si>
    <t>(en toneladas)</t>
  </si>
  <si>
    <t>Variación % Año 2021 vs:</t>
  </si>
  <si>
    <t xml:space="preserve">Sub Total </t>
  </si>
  <si>
    <t>Aclaraciones:</t>
  </si>
  <si>
    <t>Cajas 15 kilos</t>
  </si>
  <si>
    <t>Reino unido</t>
  </si>
  <si>
    <t>Union Europea</t>
  </si>
  <si>
    <t>Otros</t>
  </si>
  <si>
    <t>Argentina</t>
  </si>
  <si>
    <t>RSA</t>
  </si>
  <si>
    <t>Tn</t>
  </si>
  <si>
    <t>Sub Total</t>
  </si>
  <si>
    <t>Canadá</t>
  </si>
  <si>
    <t xml:space="preserve">Otros Destinos </t>
  </si>
  <si>
    <t xml:space="preserve">Aclaraciones: </t>
  </si>
  <si>
    <t>Otros Destinos:  incluye Canada, Middle East, Far East, America Sur</t>
  </si>
  <si>
    <t>Otros Destinos:  incluye  Middle East, Far East, America Sur</t>
  </si>
  <si>
    <t>Variación en TN Año 2021 vs:</t>
  </si>
  <si>
    <t>% Arg vs RSA</t>
  </si>
  <si>
    <t>TN Arg vs RSA</t>
  </si>
  <si>
    <t xml:space="preserve">Junio </t>
  </si>
  <si>
    <t>Total Cargado (TN)</t>
  </si>
  <si>
    <t>Total Exportado Anual</t>
  </si>
  <si>
    <t>Otros Destinos Argentina:  incluye  Middle East, Far East, America Sur</t>
  </si>
  <si>
    <t xml:space="preserve"> Otros Destinos RSA incluye: South East Asia, Middle East, Africa and Islands, Asia</t>
  </si>
  <si>
    <t>*Información del SENASA ( mercadería certificada)</t>
  </si>
  <si>
    <r>
      <t xml:space="preserve">Destino Exportac.Argentina </t>
    </r>
    <r>
      <rPr>
        <b/>
        <u/>
        <sz val="14"/>
        <rFont val="Century Gothic"/>
        <family val="2"/>
      </rPr>
      <t>Limones</t>
    </r>
    <r>
      <rPr>
        <b/>
        <sz val="14"/>
        <rFont val="Century Gothic"/>
        <family val="2"/>
      </rPr>
      <t xml:space="preserve"> a:</t>
    </r>
  </si>
  <si>
    <t>CANCROSIS</t>
  </si>
  <si>
    <t>Total Cancro</t>
  </si>
  <si>
    <t>MANCHA NEGRA</t>
  </si>
  <si>
    <t>Total MANCHA</t>
  </si>
  <si>
    <t>MOSCA</t>
  </si>
  <si>
    <t>Total MOSCA</t>
  </si>
  <si>
    <t>Total general</t>
  </si>
  <si>
    <t>Destino</t>
  </si>
  <si>
    <t>BLOQ</t>
  </si>
  <si>
    <t>INHAB</t>
  </si>
  <si>
    <t>PH</t>
  </si>
  <si>
    <t>UE</t>
  </si>
  <si>
    <t>Fecha Detección</t>
  </si>
  <si>
    <t>Cuenta de SITUACION</t>
  </si>
  <si>
    <t>Etiquetas de columna</t>
  </si>
  <si>
    <t>Etiquetas de fila</t>
  </si>
  <si>
    <t>CANCRO</t>
  </si>
  <si>
    <t>MANCHA</t>
  </si>
  <si>
    <t>*Anulado y Negativo: Laboratorio negativo</t>
  </si>
  <si>
    <t xml:space="preserve">*Bloqueo cancro: Es la 1 deteccion del establec. En la cual queda bloqueada la U.P, pero no afecta lotes aledaños (U.E). </t>
  </si>
  <si>
    <t>*Bloqueo Mancha Negra: Es la 1 deteccion de una U.P, solo permite que los pallets despachados ingresen a puerto.</t>
  </si>
  <si>
    <t>*Inhabilitación M.N: Segunda detección del establec. De M.N y se dispara la investigac al campo.</t>
  </si>
  <si>
    <t>*Inhabilitación Cancro: Segunda detección en el establ., se inhabilita la U.P y caen aledaños.</t>
  </si>
  <si>
    <t>Exportaciones</t>
  </si>
  <si>
    <t>Frutas citricas</t>
  </si>
  <si>
    <t>(Lim, Mand, Pom, Nar)</t>
  </si>
  <si>
    <t>Total CANCRO</t>
  </si>
  <si>
    <t>BRASIL</t>
  </si>
  <si>
    <t>MEXICO</t>
  </si>
  <si>
    <t>Pais destino</t>
  </si>
  <si>
    <t>BR</t>
  </si>
  <si>
    <t>UE/BR</t>
  </si>
  <si>
    <t>USA/UE/BR</t>
  </si>
  <si>
    <t>USA/UE/BR/MX</t>
  </si>
  <si>
    <t xml:space="preserve">*Bloqueo cancro: Es la 1 deteccion del establec., en la cual queda bloqueada la U.P, pero no afecta lotes aledaños (U.E). </t>
  </si>
  <si>
    <t xml:space="preserve">MANCHA </t>
  </si>
  <si>
    <t>Año 2021</t>
  </si>
  <si>
    <t>Año 2020</t>
  </si>
  <si>
    <t>MEX</t>
  </si>
  <si>
    <t>CN</t>
  </si>
  <si>
    <t>EVEN</t>
  </si>
  <si>
    <t>(Todas)</t>
  </si>
  <si>
    <t>Acumulado W 29 Tn.</t>
  </si>
  <si>
    <t>Brasil</t>
  </si>
  <si>
    <t>Provincia</t>
  </si>
  <si>
    <t>Toneladas en Pallets Despachadas LIMON</t>
  </si>
  <si>
    <t>Buenos Aires</t>
  </si>
  <si>
    <t>Corrientes</t>
  </si>
  <si>
    <t>Jujuy</t>
  </si>
  <si>
    <t>Salta</t>
  </si>
  <si>
    <t>Tucuman</t>
  </si>
  <si>
    <t>Tn a UE</t>
  </si>
  <si>
    <t>Tn a CHL</t>
  </si>
  <si>
    <t>Tn a BRA</t>
  </si>
  <si>
    <t>Tn a CHN</t>
  </si>
  <si>
    <t>Tn a COL</t>
  </si>
  <si>
    <t>Tn a KOR</t>
  </si>
  <si>
    <t>Tn a MEX</t>
  </si>
  <si>
    <t>Tn a PHL</t>
  </si>
  <si>
    <t>Tn a USA</t>
  </si>
  <si>
    <t>Tn A OD</t>
  </si>
  <si>
    <t>TOTAL</t>
  </si>
  <si>
    <t>Toneladas en Pallets Despachadas NARANJA</t>
  </si>
  <si>
    <t>Entre Rios</t>
  </si>
  <si>
    <t>TOTAL LIMON</t>
  </si>
  <si>
    <t>TOTAL NARANJA</t>
  </si>
  <si>
    <t>Toneladas en Pallets Despachadas MANDARINA</t>
  </si>
  <si>
    <t>TOTAL MANDARINA</t>
  </si>
  <si>
    <t>Misiones</t>
  </si>
  <si>
    <t xml:space="preserve">TOTAL GENERAL TN DESPACHADAS, LIMON, NARANJA Y MANDARINA </t>
  </si>
  <si>
    <t xml:space="preserve">Julio </t>
  </si>
  <si>
    <t>2021 - Acum sem 31</t>
  </si>
  <si>
    <t>EXPORTADOR</t>
  </si>
  <si>
    <t>VICENTE TRAPANI S.A.</t>
  </si>
  <si>
    <t>PARANA BASIN FRUIT S.R.L.</t>
  </si>
  <si>
    <t>Tn a Rusia</t>
  </si>
  <si>
    <t>Tn U.K</t>
  </si>
  <si>
    <t>Nota: Los valores que figura en rojo son datos obtenidos de la base del SENASA "fruta certificada", ya que al ser paises que no tienen Protocolo con restricciones no figuran en el SITC - Fruta despachada.</t>
  </si>
  <si>
    <t xml:space="preserve">*Otros Destinos:  incluye Canada, Middle East, Far East, America Sur (se descontó del total de O.D: China, PHL, Mex, Bras) </t>
  </si>
  <si>
    <t>Fuente: Sistema Informatico de Trazabilidad Citricola (SITC)</t>
  </si>
  <si>
    <t>* Solo figuran mercados con restricciones.</t>
  </si>
  <si>
    <t>Exportacion Argentina de Citricos a sem 32</t>
  </si>
  <si>
    <t>Agosto 13/08</t>
  </si>
  <si>
    <t>Total Acum Sem 32</t>
  </si>
  <si>
    <t>2021 - Acum sem 32</t>
  </si>
  <si>
    <t>13 de Agosto</t>
  </si>
  <si>
    <t>Total Expo Limon (w 32)</t>
  </si>
  <si>
    <t>Acumulado a semana 32</t>
  </si>
  <si>
    <t>Total Cargado Limones Argentina sem 32</t>
  </si>
  <si>
    <t>Cargas Argentina       Acumulado                            sem 32</t>
  </si>
  <si>
    <t>Total Cargado Limones SUDAFRICA sem 31</t>
  </si>
  <si>
    <t>Semana 31</t>
  </si>
  <si>
    <t>Semana 30</t>
  </si>
  <si>
    <t>Resumen Detecciones en EMPAQUE al 13-08-2021</t>
  </si>
  <si>
    <t>Resumen Detecciones en EMPAQUE al 13-08-2020</t>
  </si>
  <si>
    <t>Acumulado W 32 Tn.</t>
  </si>
  <si>
    <t>Resumen Detecciones en PUERTO al 13-08-2021</t>
  </si>
  <si>
    <t>Resumen Detecciones en PUERTO al 13-08-2020</t>
  </si>
  <si>
    <t>Nº</t>
  </si>
  <si>
    <t>ESPECIE</t>
  </si>
  <si>
    <t>PUERTO SALIDA</t>
  </si>
  <si>
    <t>PUERTO ENTRADA</t>
  </si>
  <si>
    <t>PAIS DE INTERCEPCION</t>
  </si>
  <si>
    <t>FECHA FITOSANITARIO</t>
  </si>
  <si>
    <t>FECHA INTERCEPCION</t>
  </si>
  <si>
    <t>FECHA NOTIFICACION</t>
  </si>
  <si>
    <t>CAUSA</t>
  </si>
  <si>
    <t>MOTIVO BIS</t>
  </si>
  <si>
    <t>REGION</t>
  </si>
  <si>
    <t>ORIGEN FRUTA</t>
  </si>
  <si>
    <t>Empaque</t>
  </si>
  <si>
    <t>Citrus sinensis</t>
  </si>
  <si>
    <t>Ruta 9</t>
  </si>
  <si>
    <t>Lisboa</t>
  </si>
  <si>
    <t>Portugal</t>
  </si>
  <si>
    <t>Sanitaria</t>
  </si>
  <si>
    <t>Mancha Negra</t>
  </si>
  <si>
    <t>NEA</t>
  </si>
  <si>
    <t>AGRÍCOLA SOL NACIENTE S.R.L.</t>
  </si>
  <si>
    <t>FRUTUCUMAN S.A</t>
  </si>
  <si>
    <t>Citrus limon</t>
  </si>
  <si>
    <t>Capitan Cortes</t>
  </si>
  <si>
    <t>Livorno</t>
  </si>
  <si>
    <t>Gorgojo</t>
  </si>
  <si>
    <t>NOA</t>
  </si>
  <si>
    <t>AGROPECUARIA EL SAUCE S.A.</t>
  </si>
  <si>
    <t>N/D</t>
  </si>
  <si>
    <t>Hrvatska</t>
  </si>
  <si>
    <t>Croacia</t>
  </si>
  <si>
    <t>Documental</t>
  </si>
  <si>
    <t>DA en CF adulterada</t>
  </si>
  <si>
    <t>CITROMAX S.A.C.I.</t>
  </si>
  <si>
    <t>Almacen de Frio</t>
  </si>
  <si>
    <t>Error tipeo en Contenedor</t>
  </si>
  <si>
    <t>Cargas de RSA Acumulado Sem 31</t>
  </si>
  <si>
    <t>Canadá/USA</t>
  </si>
  <si>
    <t xml:space="preserve">Exportaciones de ARGENTINA Y RSA a ----- U.E - UK - RUSIA - USA - Otros… W 30 (RSA)  Y W31 </t>
  </si>
  <si>
    <t>DESTINO / W</t>
  </si>
  <si>
    <t>ARG</t>
  </si>
  <si>
    <t>RUSIA</t>
  </si>
  <si>
    <t>OTROS DESTINOS</t>
  </si>
  <si>
    <t>DIF TOTAL</t>
  </si>
  <si>
    <t>DIF USA</t>
  </si>
  <si>
    <t>DIF UE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</si>
</sst>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_-* #,##0.00_-;\-* #,##0.00_-;_-* &quot;-&quot;??_-;_-@_-"/>
    <numFmt numFmtId="165" formatCode="&quot;Sem&quot;0"/>
    <numFmt numFmtId="166" formatCode="_-* #,##0_-;\-* #,##0_-;_-* &quot;-&quot;??_-;_-@_-"/>
  </numFmts>
  <fonts count="52" x14ac:knownFonts="1">
    <font>
      <sz val="11"/>
      <color theme="1"/>
      <name val="Calibri"/>
      <family val="2"/>
      <scheme val="minor"/>
    </font>
    <font>
      <b/>
      <sz val="11"/>
      <color theme="1"/>
      <name val="Calibri Light"/>
      <family val="2"/>
    </font>
    <font>
      <sz val="11"/>
      <color theme="1"/>
      <name val="Calibri"/>
      <family val="2"/>
      <scheme val="minor"/>
    </font>
    <font>
      <b/>
      <sz val="14"/>
      <name val="Century Gothic"/>
      <family val="2"/>
    </font>
    <font>
      <sz val="14"/>
      <color theme="1"/>
      <name val="Calibri"/>
      <family val="2"/>
      <scheme val="minor"/>
    </font>
    <font>
      <b/>
      <sz val="14"/>
      <color theme="1"/>
      <name val="Calibri"/>
      <family val="2"/>
      <scheme val="minor"/>
    </font>
    <font>
      <b/>
      <sz val="14"/>
      <color theme="1"/>
      <name val="Calibri Light"/>
      <family val="2"/>
    </font>
    <font>
      <sz val="14"/>
      <color theme="1"/>
      <name val="Calibri Light"/>
      <family val="2"/>
    </font>
    <font>
      <sz val="14"/>
      <name val="Century Gothic"/>
      <family val="2"/>
    </font>
    <font>
      <b/>
      <i/>
      <sz val="14"/>
      <name val="Century Gothic"/>
      <family val="2"/>
    </font>
    <font>
      <sz val="14"/>
      <color theme="0"/>
      <name val="Century Gothic"/>
      <family val="2"/>
    </font>
    <font>
      <b/>
      <sz val="14"/>
      <color indexed="9"/>
      <name val="Century Gothic"/>
      <family val="2"/>
    </font>
    <font>
      <sz val="14"/>
      <name val="Calibri Light"/>
      <family val="2"/>
    </font>
    <font>
      <b/>
      <sz val="14"/>
      <name val="Calibri Light"/>
      <family val="2"/>
    </font>
    <font>
      <b/>
      <sz val="11"/>
      <color theme="1"/>
      <name val="Calibri"/>
      <family val="2"/>
      <scheme val="minor"/>
    </font>
    <font>
      <sz val="12"/>
      <name val="Century Gothic"/>
      <family val="2"/>
    </font>
    <font>
      <b/>
      <u/>
      <sz val="10"/>
      <name val="Century Gothic"/>
      <family val="2"/>
    </font>
    <font>
      <b/>
      <u/>
      <sz val="12"/>
      <color theme="1"/>
      <name val="Calibri"/>
      <family val="2"/>
      <scheme val="minor"/>
    </font>
    <font>
      <sz val="12"/>
      <color theme="1"/>
      <name val="Calibri"/>
      <family val="2"/>
      <scheme val="minor"/>
    </font>
    <font>
      <b/>
      <sz val="12"/>
      <color theme="1"/>
      <name val="Calibri"/>
      <family val="2"/>
      <scheme val="minor"/>
    </font>
    <font>
      <b/>
      <sz val="12"/>
      <color theme="1"/>
      <name val="Calibri Light"/>
      <family val="2"/>
    </font>
    <font>
      <sz val="12"/>
      <color theme="1"/>
      <name val="Calibri Light"/>
      <family val="2"/>
    </font>
    <font>
      <b/>
      <sz val="12"/>
      <name val="Century Gothic"/>
      <family val="2"/>
    </font>
    <font>
      <sz val="12"/>
      <color theme="0"/>
      <name val="Century Gothic"/>
      <family val="2"/>
    </font>
    <font>
      <b/>
      <sz val="12"/>
      <color indexed="9"/>
      <name val="Century Gothic"/>
      <family val="2"/>
    </font>
    <font>
      <sz val="12"/>
      <color rgb="FFFF0000"/>
      <name val="Calibri"/>
      <family val="2"/>
      <scheme val="minor"/>
    </font>
    <font>
      <b/>
      <sz val="12"/>
      <color rgb="FF00B050"/>
      <name val="Calibri"/>
      <family val="2"/>
      <scheme val="minor"/>
    </font>
    <font>
      <sz val="10"/>
      <name val="Century Gothic"/>
      <family val="2"/>
    </font>
    <font>
      <b/>
      <sz val="12"/>
      <name val="Calibri Light"/>
      <family val="2"/>
    </font>
    <font>
      <b/>
      <sz val="10"/>
      <color theme="1"/>
      <name val="Calibri"/>
      <family val="2"/>
      <scheme val="minor"/>
    </font>
    <font>
      <sz val="10"/>
      <color theme="1"/>
      <name val="Calibri"/>
      <family val="2"/>
      <scheme val="minor"/>
    </font>
    <font>
      <sz val="8"/>
      <name val="Calibri"/>
      <family val="2"/>
      <scheme val="minor"/>
    </font>
    <font>
      <b/>
      <sz val="11"/>
      <color theme="0"/>
      <name val="Calibri"/>
      <family val="2"/>
      <scheme val="minor"/>
    </font>
    <font>
      <sz val="11"/>
      <color theme="0"/>
      <name val="Calibri"/>
      <family val="2"/>
      <scheme val="minor"/>
    </font>
    <font>
      <b/>
      <u/>
      <sz val="14"/>
      <name val="Century Gothic"/>
      <family val="2"/>
    </font>
    <font>
      <sz val="14"/>
      <color rgb="FFFF0000"/>
      <name val="Calibri Light"/>
      <family val="2"/>
    </font>
    <font>
      <sz val="14"/>
      <color rgb="FFFF0000"/>
      <name val="Calibri"/>
      <family val="2"/>
      <scheme val="minor"/>
    </font>
    <font>
      <b/>
      <sz val="14"/>
      <color rgb="FFFF0000"/>
      <name val="Calibri Light"/>
      <family val="2"/>
    </font>
    <font>
      <sz val="14"/>
      <name val="Calibri"/>
      <family val="2"/>
      <scheme val="minor"/>
    </font>
    <font>
      <b/>
      <sz val="14"/>
      <color rgb="FFFF0000"/>
      <name val="Calibri"/>
      <family val="2"/>
      <scheme val="minor"/>
    </font>
    <font>
      <b/>
      <sz val="14"/>
      <color theme="0"/>
      <name val="Calibri Light"/>
      <family val="2"/>
    </font>
    <font>
      <b/>
      <sz val="14"/>
      <color rgb="FF00B050"/>
      <name val="Calibri"/>
      <family val="2"/>
      <scheme val="minor"/>
    </font>
    <font>
      <b/>
      <u/>
      <sz val="14"/>
      <color theme="1"/>
      <name val="Calibri"/>
      <family val="2"/>
      <scheme val="minor"/>
    </font>
    <font>
      <sz val="9"/>
      <color theme="1"/>
      <name val="Calibri"/>
      <family val="2"/>
      <scheme val="minor"/>
    </font>
    <font>
      <sz val="8"/>
      <color theme="1"/>
      <name val="Calibri"/>
      <family val="2"/>
      <scheme val="minor"/>
    </font>
    <font>
      <b/>
      <sz val="9"/>
      <color theme="1"/>
      <name val="Calibri"/>
      <family val="2"/>
      <scheme val="minor"/>
    </font>
    <font>
      <b/>
      <sz val="12"/>
      <color theme="0"/>
      <name val="Calibri"/>
      <family val="2"/>
      <scheme val="minor"/>
    </font>
    <font>
      <sz val="12"/>
      <color theme="0"/>
      <name val="Calibri"/>
      <family val="2"/>
      <scheme val="minor"/>
    </font>
    <font>
      <b/>
      <sz val="14"/>
      <color theme="0"/>
      <name val="Calibri"/>
      <family val="2"/>
      <scheme val="minor"/>
    </font>
    <font>
      <sz val="11"/>
      <color rgb="FFFF0000"/>
      <name val="Calibri"/>
      <family val="2"/>
      <scheme val="minor"/>
    </font>
    <font>
      <sz val="12"/>
      <name val="Calibri"/>
      <family val="2"/>
      <scheme val="minor"/>
    </font>
    <font>
      <sz val="10"/>
      <name val="Arial"/>
      <family val="2"/>
    </font>
  </fonts>
  <fills count="29">
    <fill>
      <patternFill patternType="none"/>
    </fill>
    <fill>
      <patternFill patternType="gray125"/>
    </fill>
    <fill>
      <patternFill patternType="solid">
        <fgColor rgb="FF333300"/>
        <bgColor indexed="64"/>
      </patternFill>
    </fill>
    <fill>
      <patternFill patternType="solid">
        <fgColor indexed="59"/>
        <bgColor indexed="64"/>
      </patternFill>
    </fill>
    <fill>
      <patternFill patternType="solid">
        <fgColor rgb="FFFFFFCC"/>
        <bgColor indexed="64"/>
      </patternFill>
    </fill>
    <fill>
      <patternFill patternType="solid">
        <fgColor theme="7" tint="0.79998168889431442"/>
        <bgColor indexed="64"/>
      </patternFill>
    </fill>
    <fill>
      <patternFill patternType="solid">
        <fgColor theme="0"/>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2" tint="-0.249977111117893"/>
        <bgColor indexed="64"/>
      </patternFill>
    </fill>
    <fill>
      <patternFill patternType="solid">
        <fgColor rgb="FFD8D8D8"/>
        <bgColor indexed="64"/>
      </patternFill>
    </fill>
    <fill>
      <patternFill patternType="solid">
        <fgColor rgb="FFF7CAAC"/>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7" tint="-0.249977111117893"/>
        <bgColor indexed="64"/>
      </patternFill>
    </fill>
    <fill>
      <patternFill patternType="solid">
        <fgColor theme="0"/>
        <bgColor theme="4" tint="0.79998168889431442"/>
      </patternFill>
    </fill>
    <fill>
      <patternFill patternType="solid">
        <fgColor theme="9" tint="0.39997558519241921"/>
        <bgColor indexed="64"/>
      </patternFill>
    </fill>
    <fill>
      <patternFill patternType="solid">
        <fgColor theme="0" tint="-0.499984740745262"/>
        <bgColor indexed="64"/>
      </patternFill>
    </fill>
    <fill>
      <patternFill patternType="solid">
        <fgColor theme="4" tint="0.79998168889431442"/>
        <bgColor theme="4" tint="0.79998168889431442"/>
      </patternFill>
    </fill>
    <fill>
      <patternFill patternType="solid">
        <fgColor theme="4" tint="0.39997558519241921"/>
        <bgColor indexed="64"/>
      </patternFill>
    </fill>
    <fill>
      <patternFill patternType="solid">
        <fgColor theme="5" tint="0.39997558519241921"/>
        <bgColor indexed="64"/>
      </patternFill>
    </fill>
    <fill>
      <patternFill patternType="solid">
        <fgColor theme="0" tint="-0.14999847407452621"/>
        <bgColor theme="0" tint="-0.14999847407452621"/>
      </patternFill>
    </fill>
    <fill>
      <patternFill patternType="solid">
        <fgColor theme="5" tint="-0.249977111117893"/>
        <bgColor indexed="64"/>
      </patternFill>
    </fill>
    <fill>
      <patternFill patternType="solid">
        <fgColor theme="1" tint="0.249977111117893"/>
        <bgColor indexed="64"/>
      </patternFill>
    </fill>
    <fill>
      <patternFill patternType="solid">
        <fgColor rgb="FFFFFF00"/>
        <bgColor indexed="64"/>
      </patternFill>
    </fill>
    <fill>
      <patternFill patternType="solid">
        <fgColor theme="8" tint="0.39997558519241921"/>
        <bgColor indexed="64"/>
      </patternFill>
    </fill>
    <fill>
      <patternFill patternType="solid">
        <fgColor theme="4" tint="-0.499984740745262"/>
        <bgColor indexed="64"/>
      </patternFill>
    </fill>
  </fills>
  <borders count="137">
    <border>
      <left/>
      <right/>
      <top/>
      <bottom/>
      <diagonal/>
    </border>
    <border>
      <left style="thin">
        <color indexed="23"/>
      </left>
      <right/>
      <top style="thin">
        <color indexed="23"/>
      </top>
      <bottom/>
      <diagonal/>
    </border>
    <border>
      <left style="thin">
        <color indexed="16"/>
      </left>
      <right/>
      <top/>
      <bottom/>
      <diagonal/>
    </border>
    <border>
      <left/>
      <right style="thin">
        <color indexed="64"/>
      </right>
      <top/>
      <bottom/>
      <diagonal/>
    </border>
    <border>
      <left style="thin">
        <color indexed="64"/>
      </left>
      <right/>
      <top/>
      <bottom/>
      <diagonal/>
    </border>
    <border>
      <left style="thin">
        <color indexed="23"/>
      </left>
      <right/>
      <top/>
      <bottom/>
      <diagonal/>
    </border>
    <border>
      <left style="medium">
        <color theme="9" tint="-0.24994659260841701"/>
      </left>
      <right/>
      <top style="medium">
        <color theme="9" tint="-0.24994659260841701"/>
      </top>
      <bottom style="medium">
        <color theme="9" tint="-0.24994659260841701"/>
      </bottom>
      <diagonal/>
    </border>
    <border>
      <left style="thin">
        <color indexed="16"/>
      </left>
      <right/>
      <top style="medium">
        <color theme="9" tint="-0.24994659260841701"/>
      </top>
      <bottom style="medium">
        <color theme="9" tint="-0.24994659260841701"/>
      </bottom>
      <diagonal/>
    </border>
    <border>
      <left style="medium">
        <color indexed="23"/>
      </left>
      <right style="dashed">
        <color indexed="23"/>
      </right>
      <top style="medium">
        <color indexed="23"/>
      </top>
      <bottom style="dashed">
        <color indexed="23"/>
      </bottom>
      <diagonal/>
    </border>
    <border>
      <left style="dashed">
        <color indexed="23"/>
      </left>
      <right style="dashed">
        <color indexed="23"/>
      </right>
      <top style="medium">
        <color indexed="23"/>
      </top>
      <bottom style="dashed">
        <color indexed="23"/>
      </bottom>
      <diagonal/>
    </border>
    <border>
      <left style="dashed">
        <color indexed="23"/>
      </left>
      <right style="medium">
        <color indexed="23"/>
      </right>
      <top style="medium">
        <color indexed="23"/>
      </top>
      <bottom style="dashed">
        <color indexed="23"/>
      </bottom>
      <diagonal/>
    </border>
    <border>
      <left style="medium">
        <color indexed="23"/>
      </left>
      <right style="dashed">
        <color indexed="23"/>
      </right>
      <top style="dashed">
        <color indexed="23"/>
      </top>
      <bottom style="dashed">
        <color indexed="23"/>
      </bottom>
      <diagonal/>
    </border>
    <border>
      <left style="dashed">
        <color indexed="23"/>
      </left>
      <right style="dashed">
        <color indexed="23"/>
      </right>
      <top style="dashed">
        <color indexed="23"/>
      </top>
      <bottom style="dashed">
        <color indexed="23"/>
      </bottom>
      <diagonal/>
    </border>
    <border>
      <left style="dashed">
        <color indexed="23"/>
      </left>
      <right style="medium">
        <color indexed="23"/>
      </right>
      <top style="dashed">
        <color indexed="23"/>
      </top>
      <bottom style="dashed">
        <color indexed="23"/>
      </bottom>
      <diagonal/>
    </border>
    <border>
      <left style="medium">
        <color indexed="23"/>
      </left>
      <right style="dashed">
        <color indexed="23"/>
      </right>
      <top/>
      <bottom style="dashed">
        <color indexed="23"/>
      </bottom>
      <diagonal/>
    </border>
    <border>
      <left style="dashed">
        <color indexed="23"/>
      </left>
      <right style="dashed">
        <color indexed="23"/>
      </right>
      <top/>
      <bottom style="dashed">
        <color indexed="23"/>
      </bottom>
      <diagonal/>
    </border>
    <border>
      <left style="thin">
        <color indexed="16"/>
      </left>
      <right/>
      <top/>
      <bottom style="medium">
        <color indexed="23"/>
      </bottom>
      <diagonal/>
    </border>
    <border>
      <left/>
      <right/>
      <top/>
      <bottom style="medium">
        <color indexed="23"/>
      </bottom>
      <diagonal/>
    </border>
    <border>
      <left style="medium">
        <color indexed="23"/>
      </left>
      <right style="dashed">
        <color indexed="23"/>
      </right>
      <top style="mediumDashDot">
        <color indexed="23"/>
      </top>
      <bottom/>
      <diagonal/>
    </border>
    <border>
      <left style="dashed">
        <color indexed="23"/>
      </left>
      <right style="dashed">
        <color indexed="23"/>
      </right>
      <top style="mediumDashDot">
        <color indexed="23"/>
      </top>
      <bottom/>
      <diagonal/>
    </border>
    <border>
      <left style="dashed">
        <color indexed="23"/>
      </left>
      <right/>
      <top style="mediumDashDot">
        <color indexed="23"/>
      </top>
      <bottom/>
      <diagonal/>
    </border>
    <border>
      <left style="dashed">
        <color indexed="23"/>
      </left>
      <right/>
      <top style="dashed">
        <color indexed="23"/>
      </top>
      <bottom style="dashed">
        <color indexed="23"/>
      </bottom>
      <diagonal/>
    </border>
    <border>
      <left style="dashed">
        <color indexed="23"/>
      </left>
      <right/>
      <top/>
      <bottom style="dashed">
        <color indexed="23"/>
      </bottom>
      <diagonal/>
    </border>
    <border>
      <left style="mediumDashed">
        <color indexed="23"/>
      </left>
      <right style="dashed">
        <color indexed="23"/>
      </right>
      <top style="medium">
        <color indexed="23"/>
      </top>
      <bottom style="dashed">
        <color indexed="23"/>
      </bottom>
      <diagonal/>
    </border>
    <border>
      <left style="dashed">
        <color indexed="23"/>
      </left>
      <right style="mediumDashed">
        <color indexed="23"/>
      </right>
      <top style="medium">
        <color indexed="23"/>
      </top>
      <bottom style="dashed">
        <color indexed="23"/>
      </bottom>
      <diagonal/>
    </border>
    <border>
      <left style="mediumDashed">
        <color indexed="23"/>
      </left>
      <right style="dashed">
        <color indexed="23"/>
      </right>
      <top style="dashed">
        <color indexed="23"/>
      </top>
      <bottom style="dashed">
        <color indexed="23"/>
      </bottom>
      <diagonal/>
    </border>
    <border>
      <left style="dashed">
        <color indexed="23"/>
      </left>
      <right style="mediumDashed">
        <color indexed="23"/>
      </right>
      <top style="dashed">
        <color indexed="23"/>
      </top>
      <bottom style="dashed">
        <color indexed="23"/>
      </bottom>
      <diagonal/>
    </border>
    <border>
      <left style="dashed">
        <color indexed="23"/>
      </left>
      <right style="mediumDashed">
        <color indexed="23"/>
      </right>
      <top style="mediumDashDot">
        <color indexed="23"/>
      </top>
      <bottom/>
      <diagonal/>
    </border>
    <border>
      <left/>
      <right style="dashed">
        <color indexed="23"/>
      </right>
      <top style="medium">
        <color indexed="23"/>
      </top>
      <bottom style="dashed">
        <color indexed="23"/>
      </bottom>
      <diagonal/>
    </border>
    <border>
      <left/>
      <right style="dashed">
        <color indexed="23"/>
      </right>
      <top style="dashed">
        <color indexed="23"/>
      </top>
      <bottom style="dashed">
        <color indexed="23"/>
      </bottom>
      <diagonal/>
    </border>
    <border>
      <left/>
      <right style="dashed">
        <color indexed="23"/>
      </right>
      <top/>
      <bottom style="dashed">
        <color indexed="23"/>
      </bottom>
      <diagonal/>
    </border>
    <border>
      <left style="thin">
        <color indexed="23"/>
      </left>
      <right style="thin">
        <color indexed="23"/>
      </right>
      <top style="thin">
        <color indexed="23"/>
      </top>
      <bottom/>
      <diagonal/>
    </border>
    <border>
      <left style="thin">
        <color indexed="23"/>
      </left>
      <right style="thin">
        <color indexed="23"/>
      </right>
      <top/>
      <bottom/>
      <diagonal/>
    </border>
    <border>
      <left style="thin">
        <color indexed="23"/>
      </left>
      <right style="thin">
        <color indexed="23"/>
      </right>
      <top/>
      <bottom style="thin">
        <color indexed="23"/>
      </bottom>
      <diagonal/>
    </border>
    <border>
      <left style="dotted">
        <color indexed="23"/>
      </left>
      <right style="mediumDashed">
        <color indexed="23"/>
      </right>
      <top style="mediumDashed">
        <color indexed="23"/>
      </top>
      <bottom style="mediumDashed">
        <color indexed="23"/>
      </bottom>
      <diagonal/>
    </border>
    <border>
      <left style="mediumDashed">
        <color indexed="23"/>
      </left>
      <right style="mediumDashed">
        <color indexed="23"/>
      </right>
      <top style="mediumDashed">
        <color indexed="23"/>
      </top>
      <bottom style="mediumDashed">
        <color indexed="23"/>
      </bottom>
      <diagonal/>
    </border>
    <border>
      <left style="slantDashDot">
        <color indexed="23"/>
      </left>
      <right style="dashed">
        <color indexed="23"/>
      </right>
      <top style="mediumDashDot">
        <color indexed="23"/>
      </top>
      <bottom style="slantDashDot">
        <color indexed="23"/>
      </bottom>
      <diagonal/>
    </border>
    <border>
      <left style="dashed">
        <color indexed="23"/>
      </left>
      <right style="slantDashDot">
        <color indexed="23"/>
      </right>
      <top style="mediumDashDot">
        <color indexed="23"/>
      </top>
      <bottom style="slantDashDot">
        <color indexed="23"/>
      </bottom>
      <diagonal/>
    </border>
    <border>
      <left style="thick">
        <color indexed="23"/>
      </left>
      <right style="dashed">
        <color indexed="23"/>
      </right>
      <top style="slantDashDot">
        <color indexed="23"/>
      </top>
      <bottom style="thick">
        <color indexed="23"/>
      </bottom>
      <diagonal/>
    </border>
    <border>
      <left/>
      <right style="thick">
        <color indexed="23"/>
      </right>
      <top style="slantDashDot">
        <color indexed="23"/>
      </top>
      <bottom style="thick">
        <color indexed="23"/>
      </bottom>
      <diagonal/>
    </border>
    <border>
      <left style="mediumDashed">
        <color indexed="23"/>
      </left>
      <right style="dotted">
        <color indexed="23"/>
      </right>
      <top style="dashed">
        <color indexed="23"/>
      </top>
      <bottom style="dotted">
        <color indexed="23"/>
      </bottom>
      <diagonal/>
    </border>
    <border>
      <left style="dotted">
        <color indexed="23"/>
      </left>
      <right style="dotted">
        <color indexed="23"/>
      </right>
      <top style="dashed">
        <color indexed="23"/>
      </top>
      <bottom style="dotted">
        <color indexed="23"/>
      </bottom>
      <diagonal/>
    </border>
    <border>
      <left style="dotted">
        <color indexed="23"/>
      </left>
      <right style="mediumDashed">
        <color indexed="23"/>
      </right>
      <top style="dashed">
        <color indexed="23"/>
      </top>
      <bottom style="dotted">
        <color indexed="23"/>
      </bottom>
      <diagonal/>
    </border>
    <border>
      <left style="dashed">
        <color rgb="FF808080"/>
      </left>
      <right style="medium">
        <color rgb="FFCCCCCC"/>
      </right>
      <top style="medium">
        <color rgb="FFCCCCCC"/>
      </top>
      <bottom style="dotted">
        <color rgb="FF000000"/>
      </bottom>
      <diagonal/>
    </border>
    <border>
      <left style="dashed">
        <color rgb="FF808080"/>
      </left>
      <right style="medium">
        <color rgb="FFCCCCCC"/>
      </right>
      <top/>
      <bottom style="dotted">
        <color rgb="FF000000"/>
      </bottom>
      <diagonal/>
    </border>
    <border>
      <left style="dashed">
        <color rgb="FF808080"/>
      </left>
      <right style="medium">
        <color rgb="FFCCCCCC"/>
      </right>
      <top style="medium">
        <color rgb="FFCCCCCC"/>
      </top>
      <bottom/>
      <diagonal/>
    </border>
    <border>
      <left style="medium">
        <color indexed="64"/>
      </left>
      <right/>
      <top style="medium">
        <color indexed="64"/>
      </top>
      <bottom style="medium">
        <color indexed="64"/>
      </bottom>
      <diagonal/>
    </border>
    <border>
      <left/>
      <right/>
      <top style="medium">
        <color auto="1"/>
      </top>
      <bottom style="dashed">
        <color auto="1"/>
      </bottom>
      <diagonal/>
    </border>
    <border>
      <left/>
      <right/>
      <top style="medium">
        <color auto="1"/>
      </top>
      <bottom style="dotted">
        <color auto="1"/>
      </bottom>
      <diagonal/>
    </border>
    <border>
      <left/>
      <right/>
      <top style="dashed">
        <color auto="1"/>
      </top>
      <bottom style="medium">
        <color auto="1"/>
      </bottom>
      <diagonal/>
    </border>
    <border>
      <left/>
      <right/>
      <top style="dotted">
        <color auto="1"/>
      </top>
      <bottom style="medium">
        <color auto="1"/>
      </bottom>
      <diagonal/>
    </border>
    <border>
      <left style="medium">
        <color indexed="64"/>
      </left>
      <right/>
      <top style="medium">
        <color indexed="64"/>
      </top>
      <bottom style="dashed">
        <color auto="1"/>
      </bottom>
      <diagonal/>
    </border>
    <border>
      <left style="medium">
        <color indexed="64"/>
      </left>
      <right/>
      <top style="dashed">
        <color auto="1"/>
      </top>
      <bottom style="medium">
        <color auto="1"/>
      </bottom>
      <diagonal/>
    </border>
    <border>
      <left/>
      <right style="medium">
        <color indexed="64"/>
      </right>
      <top/>
      <bottom style="medium">
        <color auto="1"/>
      </bottom>
      <diagonal/>
    </border>
    <border>
      <left/>
      <right style="medium">
        <color indexed="64"/>
      </right>
      <top style="medium">
        <color auto="1"/>
      </top>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diagonal/>
    </border>
    <border>
      <left/>
      <right/>
      <top/>
      <bottom style="medium">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23"/>
      </left>
      <right style="dashed">
        <color indexed="23"/>
      </right>
      <top style="dashed">
        <color indexed="23"/>
      </top>
      <bottom style="dotted">
        <color indexed="23"/>
      </bottom>
      <diagonal/>
    </border>
    <border>
      <left style="thin">
        <color indexed="23"/>
      </left>
      <right style="dashed">
        <color indexed="23"/>
      </right>
      <top style="mediumDashDot">
        <color indexed="23"/>
      </top>
      <bottom style="mediumDashDot">
        <color indexed="23"/>
      </bottom>
      <diagonal/>
    </border>
    <border>
      <left/>
      <right/>
      <top/>
      <bottom style="dotted">
        <color rgb="FF000000"/>
      </bottom>
      <diagonal/>
    </border>
    <border>
      <left/>
      <right/>
      <top style="medium">
        <color rgb="FFCCCCCC"/>
      </top>
      <bottom style="dotted">
        <color rgb="FF000000"/>
      </bottom>
      <diagonal/>
    </border>
    <border>
      <left/>
      <right/>
      <top style="medium">
        <color rgb="FFCCCCCC"/>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rgb="FFCCCCCC"/>
      </left>
      <right style="thin">
        <color indexed="64"/>
      </right>
      <top/>
      <bottom style="mediumDashed">
        <color rgb="FF808080"/>
      </bottom>
      <diagonal/>
    </border>
    <border>
      <left style="medium">
        <color rgb="FFCCCCCC"/>
      </left>
      <right style="thin">
        <color indexed="64"/>
      </right>
      <top style="medium">
        <color rgb="FFCCCCCC"/>
      </top>
      <bottom style="mediumDashed">
        <color rgb="FF808080"/>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23"/>
      </left>
      <right style="dashed">
        <color indexed="23"/>
      </right>
      <top style="mediumDashDot">
        <color indexed="23"/>
      </top>
      <bottom style="mediumDashDot">
        <color indexed="23"/>
      </bottom>
      <diagonal/>
    </border>
    <border>
      <left style="mediumDashed">
        <color indexed="23"/>
      </left>
      <right style="dashed">
        <color indexed="23"/>
      </right>
      <top/>
      <bottom style="dashed">
        <color indexed="23"/>
      </bottom>
      <diagonal/>
    </border>
    <border>
      <left style="dashed">
        <color indexed="23"/>
      </left>
      <right style="mediumDashed">
        <color indexed="23"/>
      </right>
      <top/>
      <bottom style="dashed">
        <color indexed="23"/>
      </bottom>
      <diagonal/>
    </border>
    <border>
      <left style="mediumDashed">
        <color indexed="23"/>
      </left>
      <right style="dotted">
        <color indexed="23"/>
      </right>
      <top/>
      <bottom style="dotted">
        <color indexed="23"/>
      </bottom>
      <diagonal/>
    </border>
    <border>
      <left style="dotted">
        <color indexed="23"/>
      </left>
      <right style="dotted">
        <color indexed="23"/>
      </right>
      <top/>
      <bottom style="dotted">
        <color indexed="23"/>
      </bottom>
      <diagonal/>
    </border>
    <border>
      <left style="dotted">
        <color indexed="23"/>
      </left>
      <right style="mediumDashed">
        <color indexed="23"/>
      </right>
      <top/>
      <bottom style="dotted">
        <color indexed="23"/>
      </bottom>
      <diagonal/>
    </border>
    <border>
      <left style="dashed">
        <color indexed="23"/>
      </left>
      <right style="dashed">
        <color indexed="23"/>
      </right>
      <top style="mediumDashDot">
        <color indexed="23"/>
      </top>
      <bottom style="mediumDashDot">
        <color indexed="23"/>
      </bottom>
      <diagonal/>
    </border>
    <border>
      <left style="dashed">
        <color indexed="23"/>
      </left>
      <right/>
      <top style="mediumDashDot">
        <color indexed="23"/>
      </top>
      <bottom style="mediumDashDot">
        <color indexed="23"/>
      </bottom>
      <diagonal/>
    </border>
    <border>
      <left style="medium">
        <color rgb="FFCCCCCC"/>
      </left>
      <right style="thin">
        <color indexed="64"/>
      </right>
      <top style="medium">
        <color rgb="FFCCCCCC"/>
      </top>
      <bottom/>
      <diagonal/>
    </border>
    <border>
      <left style="thin">
        <color auto="1"/>
      </left>
      <right style="thin">
        <color auto="1"/>
      </right>
      <top style="thin">
        <color auto="1"/>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thin">
        <color auto="1"/>
      </bottom>
      <diagonal/>
    </border>
    <border>
      <left style="medium">
        <color indexed="64"/>
      </left>
      <right/>
      <top style="medium">
        <color indexed="64"/>
      </top>
      <bottom/>
      <diagonal/>
    </border>
    <border>
      <left style="medium">
        <color auto="1"/>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
      <left style="dotted">
        <color auto="1"/>
      </left>
      <right style="dotted">
        <color auto="1"/>
      </right>
      <top/>
      <bottom style="dotted">
        <color auto="1"/>
      </bottom>
      <diagonal/>
    </border>
    <border>
      <left style="dotted">
        <color auto="1"/>
      </left>
      <right style="dotted">
        <color auto="1"/>
      </right>
      <top style="dotted">
        <color auto="1"/>
      </top>
      <bottom style="dotted">
        <color auto="1"/>
      </bottom>
      <diagonal/>
    </border>
    <border>
      <left style="medium">
        <color indexed="64"/>
      </left>
      <right style="medium">
        <color indexed="64"/>
      </right>
      <top style="medium">
        <color indexed="64"/>
      </top>
      <bottom style="medium">
        <color indexed="64"/>
      </bottom>
      <diagonal/>
    </border>
    <border>
      <left style="medium">
        <color auto="1"/>
      </left>
      <right style="hair">
        <color auto="1"/>
      </right>
      <top style="medium">
        <color auto="1"/>
      </top>
      <bottom style="medium">
        <color auto="1"/>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style="hair">
        <color indexed="64"/>
      </top>
      <bottom/>
      <diagonal/>
    </border>
    <border>
      <left style="hair">
        <color auto="1"/>
      </left>
      <right style="hair">
        <color auto="1"/>
      </right>
      <top style="hair">
        <color auto="1"/>
      </top>
      <bottom/>
      <diagonal/>
    </border>
    <border>
      <left style="hair">
        <color indexed="64"/>
      </left>
      <right style="thin">
        <color indexed="64"/>
      </right>
      <top style="hair">
        <color indexed="64"/>
      </top>
      <bottom/>
      <diagonal/>
    </border>
    <border>
      <left style="dotted">
        <color auto="1"/>
      </left>
      <right style="dotted">
        <color auto="1"/>
      </right>
      <top style="dotted">
        <color auto="1"/>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
    <xf numFmtId="0" fontId="0" fillId="0" borderId="0"/>
    <xf numFmtId="9"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0" fontId="51" fillId="0" borderId="0"/>
  </cellStyleXfs>
  <cellXfs count="379">
    <xf numFmtId="0" fontId="0" fillId="0" borderId="0" xfId="0"/>
    <xf numFmtId="0" fontId="3" fillId="0" borderId="0" xfId="0" applyFont="1"/>
    <xf numFmtId="0" fontId="0" fillId="0" borderId="0" xfId="0" applyBorder="1"/>
    <xf numFmtId="0" fontId="1" fillId="6" borderId="0" xfId="0" applyFont="1" applyFill="1" applyBorder="1" applyAlignment="1">
      <alignment horizontal="center" vertical="center"/>
    </xf>
    <xf numFmtId="9" fontId="0" fillId="0" borderId="0" xfId="1" applyFont="1" applyBorder="1"/>
    <xf numFmtId="0" fontId="4" fillId="0" borderId="0" xfId="0" applyFont="1"/>
    <xf numFmtId="0" fontId="6" fillId="4" borderId="9" xfId="0" applyFont="1" applyFill="1" applyBorder="1" applyAlignment="1">
      <alignment horizontal="center" vertical="center"/>
    </xf>
    <xf numFmtId="0" fontId="6" fillId="4" borderId="8" xfId="0" applyFont="1" applyFill="1" applyBorder="1" applyAlignment="1">
      <alignment horizontal="left" vertical="center"/>
    </xf>
    <xf numFmtId="9" fontId="3" fillId="0" borderId="0" xfId="1" applyFont="1" applyAlignment="1">
      <alignment horizontal="right"/>
    </xf>
    <xf numFmtId="165" fontId="3" fillId="0" borderId="0" xfId="0" applyNumberFormat="1" applyFont="1" applyAlignment="1">
      <alignment horizontal="left"/>
    </xf>
    <xf numFmtId="14" fontId="3" fillId="0" borderId="0" xfId="1" applyNumberFormat="1" applyFont="1"/>
    <xf numFmtId="9" fontId="3" fillId="0" borderId="0" xfId="1" applyFont="1"/>
    <xf numFmtId="0" fontId="8" fillId="0" borderId="0" xfId="0" applyFont="1"/>
    <xf numFmtId="9" fontId="9" fillId="0" borderId="0" xfId="1" applyFont="1" applyAlignment="1">
      <alignment horizontal="right"/>
    </xf>
    <xf numFmtId="0" fontId="10" fillId="0" borderId="1" xfId="0" applyFont="1" applyBorder="1" applyAlignment="1">
      <alignment vertical="center"/>
    </xf>
    <xf numFmtId="0" fontId="10" fillId="0" borderId="5" xfId="0" applyFont="1" applyBorder="1" applyAlignment="1">
      <alignment vertical="center"/>
    </xf>
    <xf numFmtId="0" fontId="7" fillId="0" borderId="11" xfId="0" applyFont="1" applyBorder="1" applyAlignment="1">
      <alignment horizontal="left" vertical="center"/>
    </xf>
    <xf numFmtId="0" fontId="7" fillId="4" borderId="11" xfId="0" applyFont="1" applyFill="1" applyBorder="1" applyAlignment="1">
      <alignment horizontal="left" vertical="center"/>
    </xf>
    <xf numFmtId="4" fontId="7" fillId="4" borderId="12" xfId="0" applyNumberFormat="1" applyFont="1" applyFill="1" applyBorder="1" applyAlignment="1">
      <alignment horizontal="center" vertical="center"/>
    </xf>
    <xf numFmtId="0" fontId="5" fillId="0" borderId="0" xfId="0" applyFont="1" applyAlignment="1">
      <alignment horizontal="center" vertical="center"/>
    </xf>
    <xf numFmtId="10" fontId="7" fillId="0" borderId="12" xfId="0" applyNumberFormat="1" applyFont="1" applyBorder="1" applyAlignment="1">
      <alignment horizontal="center" vertical="center"/>
    </xf>
    <xf numFmtId="0" fontId="15" fillId="0" borderId="0" xfId="0" applyFont="1"/>
    <xf numFmtId="0" fontId="17" fillId="0" borderId="0" xfId="0" applyFont="1"/>
    <xf numFmtId="0" fontId="14" fillId="0" borderId="0" xfId="0" applyFont="1"/>
    <xf numFmtId="0" fontId="18" fillId="0" borderId="0" xfId="0" applyFont="1"/>
    <xf numFmtId="0" fontId="20" fillId="4" borderId="28" xfId="0" applyFont="1" applyFill="1" applyBorder="1" applyAlignment="1">
      <alignment horizontal="left" vertical="center"/>
    </xf>
    <xf numFmtId="0" fontId="20" fillId="4" borderId="9" xfId="0" applyFont="1" applyFill="1" applyBorder="1" applyAlignment="1">
      <alignment horizontal="center" vertical="center"/>
    </xf>
    <xf numFmtId="0" fontId="21" fillId="0" borderId="29" xfId="0" applyFont="1" applyBorder="1" applyAlignment="1">
      <alignment horizontal="left" vertical="center"/>
    </xf>
    <xf numFmtId="4" fontId="21" fillId="0" borderId="12" xfId="0" applyNumberFormat="1" applyFont="1" applyBorder="1" applyAlignment="1">
      <alignment horizontal="center" vertical="center"/>
    </xf>
    <xf numFmtId="0" fontId="21" fillId="0" borderId="30" xfId="0" applyFont="1" applyBorder="1" applyAlignment="1">
      <alignment horizontal="left" vertical="center"/>
    </xf>
    <xf numFmtId="4" fontId="21" fillId="0" borderId="15" xfId="0" applyNumberFormat="1" applyFont="1" applyBorder="1" applyAlignment="1">
      <alignment horizontal="center" vertical="center"/>
    </xf>
    <xf numFmtId="4" fontId="18" fillId="0" borderId="0" xfId="0" applyNumberFormat="1" applyFont="1"/>
    <xf numFmtId="4" fontId="20" fillId="4" borderId="36" xfId="0" applyNumberFormat="1" applyFont="1" applyFill="1" applyBorder="1" applyAlignment="1">
      <alignment horizontal="center" vertical="center"/>
    </xf>
    <xf numFmtId="4" fontId="20" fillId="4" borderId="37" xfId="0" applyNumberFormat="1" applyFont="1" applyFill="1" applyBorder="1" applyAlignment="1">
      <alignment horizontal="center" vertical="center"/>
    </xf>
    <xf numFmtId="0" fontId="20" fillId="7" borderId="38" xfId="0" applyFont="1" applyFill="1" applyBorder="1" applyAlignment="1">
      <alignment horizontal="left" vertical="center"/>
    </xf>
    <xf numFmtId="0" fontId="22" fillId="0" borderId="0" xfId="0" applyFont="1"/>
    <xf numFmtId="0" fontId="20" fillId="0" borderId="0" xfId="0" applyFont="1" applyBorder="1" applyAlignment="1">
      <alignment horizontal="right"/>
    </xf>
    <xf numFmtId="4" fontId="20" fillId="0" borderId="0" xfId="0" applyNumberFormat="1" applyFont="1" applyBorder="1" applyAlignment="1">
      <alignment horizontal="center" vertical="center"/>
    </xf>
    <xf numFmtId="4" fontId="21" fillId="0" borderId="0" xfId="0" applyNumberFormat="1" applyFont="1" applyFill="1" applyBorder="1" applyAlignment="1">
      <alignment horizontal="center" vertical="center"/>
    </xf>
    <xf numFmtId="4" fontId="26" fillId="0" borderId="0" xfId="0" applyNumberFormat="1" applyFont="1"/>
    <xf numFmtId="0" fontId="27" fillId="0" borderId="0" xfId="0" applyFont="1"/>
    <xf numFmtId="9" fontId="27" fillId="0" borderId="0" xfId="1" applyFont="1"/>
    <xf numFmtId="0" fontId="19" fillId="0" borderId="46" xfId="0" applyFont="1" applyBorder="1" applyAlignment="1">
      <alignment wrapText="1"/>
    </xf>
    <xf numFmtId="0" fontId="18" fillId="5" borderId="47" xfId="0" applyFont="1" applyFill="1" applyBorder="1"/>
    <xf numFmtId="4" fontId="19" fillId="5" borderId="48" xfId="0" applyNumberFormat="1" applyFont="1" applyFill="1" applyBorder="1"/>
    <xf numFmtId="0" fontId="18" fillId="6" borderId="49" xfId="0" applyFont="1" applyFill="1" applyBorder="1"/>
    <xf numFmtId="4" fontId="19" fillId="0" borderId="50" xfId="0" applyNumberFormat="1" applyFont="1" applyFill="1" applyBorder="1"/>
    <xf numFmtId="0" fontId="18" fillId="0" borderId="46" xfId="0" applyFont="1" applyBorder="1"/>
    <xf numFmtId="0" fontId="18" fillId="0" borderId="55" xfId="0" applyFont="1" applyBorder="1"/>
    <xf numFmtId="0" fontId="19" fillId="0" borderId="55" xfId="0" applyFont="1" applyBorder="1"/>
    <xf numFmtId="0" fontId="19" fillId="0" borderId="56" xfId="0" applyFont="1" applyBorder="1"/>
    <xf numFmtId="0" fontId="0" fillId="0" borderId="0" xfId="0" applyBorder="1" applyAlignment="1">
      <alignment wrapText="1"/>
    </xf>
    <xf numFmtId="4" fontId="27" fillId="0" borderId="0" xfId="0" applyNumberFormat="1" applyFont="1"/>
    <xf numFmtId="9" fontId="16" fillId="0" borderId="0" xfId="1" applyFont="1" applyAlignment="1">
      <alignment horizontal="left"/>
    </xf>
    <xf numFmtId="4" fontId="7" fillId="0" borderId="12" xfId="0" applyNumberFormat="1" applyFont="1" applyBorder="1" applyAlignment="1">
      <alignment horizontal="center" vertical="center"/>
    </xf>
    <xf numFmtId="4" fontId="13" fillId="12" borderId="7" xfId="0" applyNumberFormat="1" applyFont="1" applyFill="1" applyBorder="1" applyAlignment="1">
      <alignment horizontal="center" vertical="center"/>
    </xf>
    <xf numFmtId="0" fontId="6" fillId="14" borderId="10" xfId="0" applyFont="1" applyFill="1" applyBorder="1" applyAlignment="1">
      <alignment horizontal="center" vertical="center"/>
    </xf>
    <xf numFmtId="4" fontId="12" fillId="14" borderId="13" xfId="0" applyNumberFormat="1" applyFont="1" applyFill="1" applyBorder="1" applyAlignment="1">
      <alignment horizontal="center" vertical="center" wrapText="1"/>
    </xf>
    <xf numFmtId="4" fontId="7" fillId="14" borderId="12" xfId="0" applyNumberFormat="1" applyFont="1" applyFill="1" applyBorder="1" applyAlignment="1">
      <alignment horizontal="center" vertical="center"/>
    </xf>
    <xf numFmtId="10" fontId="12" fillId="14" borderId="13" xfId="0" applyNumberFormat="1" applyFont="1" applyFill="1" applyBorder="1" applyAlignment="1">
      <alignment horizontal="center" vertical="center" wrapText="1"/>
    </xf>
    <xf numFmtId="4" fontId="13" fillId="13" borderId="7" xfId="0" applyNumberFormat="1" applyFont="1" applyFill="1" applyBorder="1" applyAlignment="1">
      <alignment horizontal="center" vertical="center"/>
    </xf>
    <xf numFmtId="0" fontId="23" fillId="0" borderId="0" xfId="0" applyFont="1" applyBorder="1" applyAlignment="1">
      <alignment vertical="center"/>
    </xf>
    <xf numFmtId="0" fontId="23" fillId="0" borderId="17" xfId="0" applyFont="1" applyBorder="1" applyAlignment="1">
      <alignment vertical="center"/>
    </xf>
    <xf numFmtId="9" fontId="18" fillId="0" borderId="0" xfId="1" applyFont="1"/>
    <xf numFmtId="4" fontId="0" fillId="0" borderId="0" xfId="0" applyNumberFormat="1"/>
    <xf numFmtId="0" fontId="20" fillId="4" borderId="62" xfId="0" applyFont="1" applyFill="1" applyBorder="1" applyAlignment="1">
      <alignment horizontal="right"/>
    </xf>
    <xf numFmtId="0" fontId="18" fillId="0" borderId="63" xfId="0" applyFont="1" applyBorder="1" applyAlignment="1">
      <alignment wrapText="1"/>
    </xf>
    <xf numFmtId="0" fontId="18" fillId="0" borderId="64" xfId="0" applyFont="1" applyBorder="1" applyAlignment="1">
      <alignment wrapText="1"/>
    </xf>
    <xf numFmtId="0" fontId="18" fillId="0" borderId="65" xfId="0" applyFont="1" applyBorder="1" applyAlignment="1">
      <alignment wrapText="1"/>
    </xf>
    <xf numFmtId="0" fontId="19" fillId="4" borderId="71" xfId="0" applyFont="1" applyFill="1" applyBorder="1" applyAlignment="1">
      <alignment vertical="center" wrapText="1"/>
    </xf>
    <xf numFmtId="0" fontId="19" fillId="4" borderId="71" xfId="0" applyFont="1" applyFill="1" applyBorder="1" applyAlignment="1">
      <alignment horizontal="center" vertical="center" wrapText="1"/>
    </xf>
    <xf numFmtId="0" fontId="19" fillId="10" borderId="71" xfId="0" applyFont="1" applyFill="1" applyBorder="1" applyAlignment="1">
      <alignment horizontal="center" vertical="center" wrapText="1"/>
    </xf>
    <xf numFmtId="0" fontId="18" fillId="0" borderId="0" xfId="0" applyFont="1" applyBorder="1"/>
    <xf numFmtId="0" fontId="24" fillId="6" borderId="17" xfId="0" applyFont="1" applyFill="1" applyBorder="1" applyAlignment="1">
      <alignment vertical="center" wrapText="1"/>
    </xf>
    <xf numFmtId="4" fontId="20" fillId="5" borderId="12" xfId="0" applyNumberFormat="1" applyFont="1" applyFill="1" applyBorder="1" applyAlignment="1">
      <alignment horizontal="center" vertical="center"/>
    </xf>
    <xf numFmtId="0" fontId="28" fillId="12" borderId="6" xfId="0" applyFont="1" applyFill="1" applyBorder="1" applyAlignment="1">
      <alignment horizontal="left" vertical="center"/>
    </xf>
    <xf numFmtId="0" fontId="0" fillId="0" borderId="0" xfId="0" applyBorder="1" applyAlignment="1">
      <alignment wrapText="1"/>
    </xf>
    <xf numFmtId="0" fontId="29" fillId="4" borderId="71" xfId="0" applyFont="1" applyFill="1" applyBorder="1" applyAlignment="1">
      <alignment horizontal="center" vertical="center" wrapText="1"/>
    </xf>
    <xf numFmtId="0" fontId="14" fillId="4" borderId="71" xfId="0" applyFont="1" applyFill="1" applyBorder="1" applyAlignment="1">
      <alignment horizontal="center" vertical="center" wrapText="1"/>
    </xf>
    <xf numFmtId="4" fontId="18" fillId="6" borderId="44" xfId="0" applyNumberFormat="1" applyFont="1" applyFill="1" applyBorder="1" applyAlignment="1">
      <alignment horizontal="center" vertical="center" wrapText="1"/>
    </xf>
    <xf numFmtId="4" fontId="18" fillId="6" borderId="43" xfId="0" applyNumberFormat="1" applyFont="1" applyFill="1" applyBorder="1" applyAlignment="1">
      <alignment horizontal="center" vertical="center" wrapText="1"/>
    </xf>
    <xf numFmtId="4" fontId="18" fillId="6" borderId="45" xfId="0" applyNumberFormat="1" applyFont="1" applyFill="1" applyBorder="1" applyAlignment="1">
      <alignment horizontal="center" vertical="center" wrapText="1"/>
    </xf>
    <xf numFmtId="4" fontId="0" fillId="0" borderId="69" xfId="0" applyNumberFormat="1" applyFont="1" applyBorder="1" applyAlignment="1">
      <alignment horizontal="center" vertical="center" wrapText="1"/>
    </xf>
    <xf numFmtId="4" fontId="0" fillId="0" borderId="70" xfId="0" applyNumberFormat="1" applyFont="1" applyBorder="1" applyAlignment="1">
      <alignment horizontal="center" vertical="center" wrapText="1"/>
    </xf>
    <xf numFmtId="4" fontId="0" fillId="0" borderId="86" xfId="0" applyNumberFormat="1" applyFont="1" applyBorder="1" applyAlignment="1">
      <alignment horizontal="center" vertical="center" wrapText="1"/>
    </xf>
    <xf numFmtId="4" fontId="5" fillId="7" borderId="39" xfId="0" applyNumberFormat="1" applyFont="1" applyFill="1" applyBorder="1" applyAlignment="1">
      <alignment horizontal="center" vertical="center"/>
    </xf>
    <xf numFmtId="0" fontId="6" fillId="5" borderId="15" xfId="0" applyFont="1" applyFill="1" applyBorder="1" applyAlignment="1">
      <alignment horizontal="center" vertical="center"/>
    </xf>
    <xf numFmtId="0" fontId="6" fillId="4" borderId="15" xfId="0" applyFont="1" applyFill="1" applyBorder="1" applyAlignment="1">
      <alignment horizontal="center" vertical="center"/>
    </xf>
    <xf numFmtId="0" fontId="6" fillId="4" borderId="22" xfId="0" applyFont="1" applyFill="1" applyBorder="1" applyAlignment="1">
      <alignment horizontal="center" vertical="center"/>
    </xf>
    <xf numFmtId="0" fontId="6" fillId="4" borderId="23" xfId="0" applyFont="1" applyFill="1" applyBorder="1" applyAlignment="1">
      <alignment horizontal="center" vertical="center"/>
    </xf>
    <xf numFmtId="0" fontId="6" fillId="4" borderId="24" xfId="0" applyFont="1" applyFill="1" applyBorder="1" applyAlignment="1">
      <alignment horizontal="center" vertical="center"/>
    </xf>
    <xf numFmtId="4" fontId="7" fillId="0" borderId="12" xfId="0" applyNumberFormat="1" applyFont="1" applyFill="1" applyBorder="1" applyAlignment="1">
      <alignment horizontal="center" vertical="center"/>
    </xf>
    <xf numFmtId="4" fontId="7" fillId="0" borderId="21" xfId="0" applyNumberFormat="1" applyFont="1" applyFill="1" applyBorder="1" applyAlignment="1">
      <alignment horizontal="center" vertical="center"/>
    </xf>
    <xf numFmtId="9" fontId="35" fillId="0" borderId="25" xfId="1" applyFont="1" applyFill="1" applyBorder="1" applyAlignment="1">
      <alignment horizontal="center" vertical="center"/>
    </xf>
    <xf numFmtId="9" fontId="35" fillId="0" borderId="12" xfId="1" applyFont="1" applyFill="1" applyBorder="1" applyAlignment="1">
      <alignment horizontal="center" vertical="center"/>
    </xf>
    <xf numFmtId="9" fontId="35" fillId="0" borderId="26" xfId="1" applyFont="1" applyFill="1" applyBorder="1" applyAlignment="1">
      <alignment horizontal="center" vertical="center"/>
    </xf>
    <xf numFmtId="4" fontId="36" fillId="0" borderId="40" xfId="0" applyNumberFormat="1" applyFont="1" applyBorder="1"/>
    <xf numFmtId="4" fontId="36" fillId="0" borderId="41" xfId="0" applyNumberFormat="1" applyFont="1" applyBorder="1"/>
    <xf numFmtId="4" fontId="36" fillId="0" borderId="42" xfId="0" applyNumberFormat="1" applyFont="1" applyBorder="1"/>
    <xf numFmtId="4" fontId="6" fillId="15" borderId="84" xfId="0" applyNumberFormat="1" applyFont="1" applyFill="1" applyBorder="1" applyAlignment="1">
      <alignment horizontal="center" vertical="center"/>
    </xf>
    <xf numFmtId="4" fontId="6" fillId="4" borderId="84" xfId="0" applyNumberFormat="1" applyFont="1" applyFill="1" applyBorder="1" applyAlignment="1">
      <alignment horizontal="center" vertical="center"/>
    </xf>
    <xf numFmtId="4" fontId="6" fillId="4" borderId="85" xfId="0" applyNumberFormat="1" applyFont="1" applyFill="1" applyBorder="1" applyAlignment="1">
      <alignment horizontal="center" vertical="center"/>
    </xf>
    <xf numFmtId="9" fontId="37" fillId="4" borderId="85" xfId="1" applyFont="1" applyFill="1" applyBorder="1" applyAlignment="1">
      <alignment horizontal="center" vertical="center"/>
    </xf>
    <xf numFmtId="4" fontId="37" fillId="4" borderId="84" xfId="0" applyNumberFormat="1" applyFont="1" applyFill="1" applyBorder="1" applyAlignment="1">
      <alignment horizontal="center" vertical="center"/>
    </xf>
    <xf numFmtId="4" fontId="7" fillId="0" borderId="15" xfId="0" applyNumberFormat="1" applyFont="1" applyBorder="1" applyAlignment="1">
      <alignment horizontal="center" vertical="center"/>
    </xf>
    <xf numFmtId="4" fontId="7" fillId="0" borderId="22" xfId="0" applyNumberFormat="1" applyFont="1" applyBorder="1" applyAlignment="1">
      <alignment horizontal="center" vertical="center"/>
    </xf>
    <xf numFmtId="9" fontId="35" fillId="0" borderId="79" xfId="1" applyFont="1" applyFill="1" applyBorder="1" applyAlignment="1">
      <alignment horizontal="center" vertical="center"/>
    </xf>
    <xf numFmtId="9" fontId="35" fillId="0" borderId="15" xfId="1" applyFont="1" applyFill="1" applyBorder="1" applyAlignment="1">
      <alignment horizontal="center" vertical="center"/>
    </xf>
    <xf numFmtId="9" fontId="35" fillId="0" borderId="80" xfId="1" applyFont="1" applyFill="1" applyBorder="1" applyAlignment="1">
      <alignment horizontal="center" vertical="center"/>
    </xf>
    <xf numFmtId="4" fontId="36" fillId="0" borderId="81" xfId="0" applyNumberFormat="1" applyFont="1" applyBorder="1"/>
    <xf numFmtId="4" fontId="36" fillId="0" borderId="82" xfId="0" applyNumberFormat="1" applyFont="1" applyBorder="1"/>
    <xf numFmtId="4" fontId="36" fillId="0" borderId="83" xfId="0" applyNumberFormat="1" applyFont="1" applyBorder="1"/>
    <xf numFmtId="4" fontId="7" fillId="0" borderId="15" xfId="0" applyNumberFormat="1" applyFont="1" applyFill="1" applyBorder="1" applyAlignment="1">
      <alignment horizontal="center" vertical="center"/>
    </xf>
    <xf numFmtId="9" fontId="12" fillId="0" borderId="12" xfId="1" applyFont="1" applyFill="1" applyBorder="1" applyAlignment="1">
      <alignment horizontal="center" vertical="center"/>
    </xf>
    <xf numFmtId="4" fontId="38" fillId="0" borderId="41" xfId="0" applyNumberFormat="1" applyFont="1" applyBorder="1"/>
    <xf numFmtId="9" fontId="12" fillId="0" borderId="25" xfId="1" applyFont="1" applyFill="1" applyBorder="1" applyAlignment="1">
      <alignment horizontal="center" vertical="center"/>
    </xf>
    <xf numFmtId="9" fontId="12" fillId="0" borderId="26" xfId="1" applyFont="1" applyFill="1" applyBorder="1" applyAlignment="1">
      <alignment horizontal="center" vertical="center"/>
    </xf>
    <xf numFmtId="4" fontId="38" fillId="0" borderId="40" xfId="0" applyNumberFormat="1" applyFont="1" applyBorder="1"/>
    <xf numFmtId="4" fontId="38" fillId="0" borderId="42" xfId="0" applyNumberFormat="1" applyFont="1" applyBorder="1"/>
    <xf numFmtId="4" fontId="6" fillId="15" borderId="19" xfId="0" applyNumberFormat="1" applyFont="1" applyFill="1" applyBorder="1" applyAlignment="1">
      <alignment horizontal="center" vertical="center"/>
    </xf>
    <xf numFmtId="4" fontId="6" fillId="5" borderId="19" xfId="0" applyNumberFormat="1" applyFont="1" applyFill="1" applyBorder="1" applyAlignment="1">
      <alignment horizontal="center" vertical="center"/>
    </xf>
    <xf numFmtId="4" fontId="6" fillId="5" borderId="20" xfId="0" applyNumberFormat="1" applyFont="1" applyFill="1" applyBorder="1" applyAlignment="1">
      <alignment horizontal="center" vertical="center"/>
    </xf>
    <xf numFmtId="4" fontId="13" fillId="5" borderId="19" xfId="0" applyNumberFormat="1" applyFont="1" applyFill="1" applyBorder="1" applyAlignment="1">
      <alignment horizontal="center" vertical="center"/>
    </xf>
    <xf numFmtId="4" fontId="13" fillId="5" borderId="27" xfId="0" applyNumberFormat="1" applyFont="1" applyFill="1" applyBorder="1" applyAlignment="1">
      <alignment horizontal="center" vertical="center"/>
    </xf>
    <xf numFmtId="4" fontId="6" fillId="16" borderId="35" xfId="0" applyNumberFormat="1" applyFont="1" applyFill="1" applyBorder="1" applyAlignment="1">
      <alignment horizontal="center" vertical="center"/>
    </xf>
    <xf numFmtId="4" fontId="6" fillId="8" borderId="35" xfId="0" applyNumberFormat="1" applyFont="1" applyFill="1" applyBorder="1" applyAlignment="1">
      <alignment horizontal="center" vertical="center"/>
    </xf>
    <xf numFmtId="9" fontId="37" fillId="8" borderId="35" xfId="1" applyFont="1" applyFill="1" applyBorder="1" applyAlignment="1">
      <alignment horizontal="center" vertical="center"/>
    </xf>
    <xf numFmtId="4" fontId="39" fillId="8" borderId="35" xfId="0" applyNumberFormat="1" applyFont="1" applyFill="1" applyBorder="1" applyAlignment="1">
      <alignment horizontal="center" vertical="center" wrapText="1"/>
    </xf>
    <xf numFmtId="4" fontId="39" fillId="8" borderId="35" xfId="0" applyNumberFormat="1" applyFont="1" applyFill="1" applyBorder="1" applyAlignment="1">
      <alignment vertical="center"/>
    </xf>
    <xf numFmtId="4" fontId="13" fillId="0" borderId="0" xfId="0" applyNumberFormat="1" applyFont="1" applyFill="1" applyBorder="1" applyAlignment="1">
      <alignment horizontal="center" vertical="center"/>
    </xf>
    <xf numFmtId="4" fontId="40" fillId="13" borderId="0" xfId="0" applyNumberFormat="1" applyFont="1" applyFill="1" applyBorder="1" applyAlignment="1">
      <alignment horizontal="center" vertical="center"/>
    </xf>
    <xf numFmtId="9" fontId="37" fillId="0" borderId="0" xfId="1" applyFont="1" applyFill="1" applyBorder="1" applyAlignment="1">
      <alignment horizontal="center" vertical="center"/>
    </xf>
    <xf numFmtId="4" fontId="39" fillId="0" borderId="0" xfId="0" applyNumberFormat="1" applyFont="1" applyFill="1" applyBorder="1"/>
    <xf numFmtId="4" fontId="6" fillId="0" borderId="0" xfId="0" applyNumberFormat="1" applyFont="1" applyBorder="1" applyAlignment="1">
      <alignment horizontal="center" vertical="center"/>
    </xf>
    <xf numFmtId="4" fontId="7" fillId="0" borderId="0" xfId="0" applyNumberFormat="1" applyFont="1" applyFill="1" applyBorder="1" applyAlignment="1">
      <alignment horizontal="center" vertical="center"/>
    </xf>
    <xf numFmtId="4" fontId="41" fillId="0" borderId="0" xfId="0" applyNumberFormat="1" applyFont="1"/>
    <xf numFmtId="0" fontId="7" fillId="0" borderId="11" xfId="0" applyFont="1" applyFill="1" applyBorder="1" applyAlignment="1">
      <alignment horizontal="left" vertical="center"/>
    </xf>
    <xf numFmtId="4" fontId="7" fillId="6" borderId="12" xfId="0" applyNumberFormat="1" applyFont="1" applyFill="1" applyBorder="1" applyAlignment="1">
      <alignment horizontal="center" vertical="center"/>
    </xf>
    <xf numFmtId="0" fontId="6" fillId="4" borderId="78" xfId="0" applyFont="1" applyFill="1" applyBorder="1" applyAlignment="1">
      <alignment horizontal="right"/>
    </xf>
    <xf numFmtId="4" fontId="6" fillId="6" borderId="84" xfId="0" applyNumberFormat="1" applyFont="1" applyFill="1" applyBorder="1" applyAlignment="1">
      <alignment horizontal="center" vertical="center"/>
    </xf>
    <xf numFmtId="0" fontId="7" fillId="0" borderId="14" xfId="0" applyFont="1" applyBorder="1" applyAlignment="1">
      <alignment horizontal="left" vertical="center"/>
    </xf>
    <xf numFmtId="4" fontId="7" fillId="6" borderId="15" xfId="0" applyNumberFormat="1" applyFont="1" applyFill="1" applyBorder="1" applyAlignment="1">
      <alignment horizontal="center" vertical="center"/>
    </xf>
    <xf numFmtId="0" fontId="7" fillId="0" borderId="61" xfId="0" applyFont="1" applyFill="1" applyBorder="1" applyAlignment="1">
      <alignment horizontal="left" vertical="center"/>
    </xf>
    <xf numFmtId="0" fontId="6" fillId="5" borderId="18" xfId="0" applyFont="1" applyFill="1" applyBorder="1" applyAlignment="1">
      <alignment horizontal="right"/>
    </xf>
    <xf numFmtId="4" fontId="6" fillId="6" borderId="19" xfId="0" applyNumberFormat="1" applyFont="1" applyFill="1" applyBorder="1" applyAlignment="1">
      <alignment horizontal="center" vertical="center"/>
    </xf>
    <xf numFmtId="4" fontId="6" fillId="6" borderId="35" xfId="0" applyNumberFormat="1" applyFont="1" applyFill="1" applyBorder="1" applyAlignment="1">
      <alignment horizontal="center" vertical="center"/>
    </xf>
    <xf numFmtId="0" fontId="40" fillId="13" borderId="0" xfId="0" applyFont="1" applyFill="1" applyBorder="1" applyAlignment="1">
      <alignment horizontal="center" vertical="center" wrapText="1"/>
    </xf>
    <xf numFmtId="4" fontId="40" fillId="0" borderId="0" xfId="0" applyNumberFormat="1" applyFont="1" applyFill="1" applyBorder="1" applyAlignment="1">
      <alignment horizontal="center" vertical="center"/>
    </xf>
    <xf numFmtId="4" fontId="19" fillId="11" borderId="71" xfId="0" applyNumberFormat="1" applyFont="1" applyFill="1" applyBorder="1" applyAlignment="1">
      <alignment horizontal="center" vertical="center" wrapText="1"/>
    </xf>
    <xf numFmtId="4" fontId="14" fillId="11" borderId="71" xfId="0" applyNumberFormat="1" applyFont="1" applyFill="1" applyBorder="1" applyAlignment="1">
      <alignment horizontal="center" vertical="center" wrapText="1"/>
    </xf>
    <xf numFmtId="0" fontId="14" fillId="17" borderId="0" xfId="0" applyFont="1" applyFill="1"/>
    <xf numFmtId="0" fontId="43" fillId="8" borderId="71" xfId="0" applyFont="1" applyFill="1" applyBorder="1" applyAlignment="1">
      <alignment horizontal="center" vertical="center" wrapText="1"/>
    </xf>
    <xf numFmtId="0" fontId="0" fillId="0" borderId="71" xfId="0" applyBorder="1"/>
    <xf numFmtId="0" fontId="0" fillId="0" borderId="87" xfId="0" applyBorder="1"/>
    <xf numFmtId="0" fontId="0" fillId="0" borderId="88" xfId="0" applyBorder="1"/>
    <xf numFmtId="0" fontId="0" fillId="0" borderId="89" xfId="0" applyBorder="1" applyAlignment="1">
      <alignment horizontal="center" vertical="center"/>
    </xf>
    <xf numFmtId="0" fontId="0" fillId="14" borderId="89" xfId="0" applyFill="1" applyBorder="1" applyAlignment="1">
      <alignment horizontal="center" vertical="center"/>
    </xf>
    <xf numFmtId="0" fontId="33" fillId="19" borderId="90" xfId="0" applyFont="1" applyFill="1" applyBorder="1" applyAlignment="1">
      <alignment horizontal="center" vertical="center"/>
    </xf>
    <xf numFmtId="0" fontId="0" fillId="0" borderId="91" xfId="0" applyBorder="1"/>
    <xf numFmtId="0" fontId="0" fillId="0" borderId="92" xfId="0" applyBorder="1" applyAlignment="1">
      <alignment horizontal="center" vertical="center"/>
    </xf>
    <xf numFmtId="0" fontId="0" fillId="14" borderId="92" xfId="0" applyFill="1" applyBorder="1" applyAlignment="1">
      <alignment horizontal="center" vertical="center"/>
    </xf>
    <xf numFmtId="0" fontId="33" fillId="19" borderId="93" xfId="0" applyFont="1" applyFill="1" applyBorder="1" applyAlignment="1">
      <alignment horizontal="center" vertical="center"/>
    </xf>
    <xf numFmtId="0" fontId="0" fillId="0" borderId="94" xfId="0" applyBorder="1"/>
    <xf numFmtId="0" fontId="0" fillId="0" borderId="95" xfId="0" applyBorder="1" applyAlignment="1">
      <alignment horizontal="center" vertical="center"/>
    </xf>
    <xf numFmtId="0" fontId="33" fillId="19" borderId="96" xfId="0" applyFont="1" applyFill="1" applyBorder="1" applyAlignment="1">
      <alignment horizontal="center" vertical="center"/>
    </xf>
    <xf numFmtId="0" fontId="32" fillId="19" borderId="71" xfId="0" applyFont="1" applyFill="1" applyBorder="1"/>
    <xf numFmtId="0" fontId="32" fillId="19" borderId="71" xfId="0" applyFont="1" applyFill="1" applyBorder="1" applyAlignment="1">
      <alignment horizontal="center" vertical="center"/>
    </xf>
    <xf numFmtId="0" fontId="18" fillId="0" borderId="0" xfId="0" applyFont="1" applyBorder="1" applyAlignment="1">
      <alignment horizontal="left"/>
    </xf>
    <xf numFmtId="0" fontId="0" fillId="0" borderId="0" xfId="0" applyFont="1"/>
    <xf numFmtId="0" fontId="44" fillId="0" borderId="0" xfId="0" applyNumberFormat="1" applyFont="1" applyBorder="1" applyAlignment="1">
      <alignment vertical="center" wrapText="1"/>
    </xf>
    <xf numFmtId="0" fontId="19" fillId="0" borderId="97" xfId="0" applyFont="1" applyBorder="1" applyAlignment="1">
      <alignment horizontal="center"/>
    </xf>
    <xf numFmtId="0" fontId="0" fillId="0" borderId="97" xfId="0" applyBorder="1"/>
    <xf numFmtId="0" fontId="0" fillId="0" borderId="57" xfId="0" applyBorder="1"/>
    <xf numFmtId="0" fontId="0" fillId="0" borderId="54" xfId="0" applyBorder="1"/>
    <xf numFmtId="0" fontId="0" fillId="0" borderId="0" xfId="0" applyBorder="1" applyAlignment="1">
      <alignment horizontal="center" vertical="center"/>
    </xf>
    <xf numFmtId="0" fontId="44" fillId="12" borderId="100" xfId="0" applyFont="1" applyFill="1" applyBorder="1" applyAlignment="1">
      <alignment horizontal="center" vertical="center" wrapText="1"/>
    </xf>
    <xf numFmtId="0" fontId="0" fillId="0" borderId="99" xfId="0" applyBorder="1" applyAlignment="1">
      <alignment horizontal="left"/>
    </xf>
    <xf numFmtId="0" fontId="0" fillId="0" borderId="0" xfId="0" applyNumberFormat="1" applyBorder="1" applyAlignment="1">
      <alignment horizontal="center" vertical="center"/>
    </xf>
    <xf numFmtId="0" fontId="0" fillId="12" borderId="100" xfId="0" applyNumberFormat="1" applyFill="1" applyBorder="1" applyAlignment="1">
      <alignment horizontal="center" vertical="center"/>
    </xf>
    <xf numFmtId="0" fontId="0" fillId="0" borderId="101" xfId="0" applyBorder="1" applyAlignment="1">
      <alignment horizontal="left"/>
    </xf>
    <xf numFmtId="0" fontId="0" fillId="0" borderId="102" xfId="0" applyNumberFormat="1" applyBorder="1" applyAlignment="1">
      <alignment horizontal="center" vertical="center"/>
    </xf>
    <xf numFmtId="0" fontId="0" fillId="12" borderId="103" xfId="0" applyNumberFormat="1" applyFill="1" applyBorder="1" applyAlignment="1">
      <alignment horizontal="center" vertical="center"/>
    </xf>
    <xf numFmtId="0" fontId="44" fillId="0" borderId="0" xfId="0" applyNumberFormat="1" applyFont="1" applyBorder="1" applyAlignment="1">
      <alignment horizontal="center" vertical="center" wrapText="1"/>
    </xf>
    <xf numFmtId="0" fontId="14" fillId="21" borderId="71" xfId="0" applyFont="1" applyFill="1" applyBorder="1"/>
    <xf numFmtId="0" fontId="14" fillId="0" borderId="71" xfId="0" applyFont="1" applyBorder="1"/>
    <xf numFmtId="4" fontId="0" fillId="0" borderId="71" xfId="0" applyNumberFormat="1" applyBorder="1"/>
    <xf numFmtId="0" fontId="42" fillId="0" borderId="0" xfId="0" applyFont="1" applyBorder="1" applyAlignment="1"/>
    <xf numFmtId="0" fontId="18" fillId="0" borderId="71" xfId="0" applyFont="1" applyBorder="1"/>
    <xf numFmtId="0" fontId="18" fillId="0" borderId="71" xfId="0" applyFont="1" applyBorder="1" applyAlignment="1">
      <alignment horizontal="center" vertical="center"/>
    </xf>
    <xf numFmtId="0" fontId="18" fillId="0" borderId="88" xfId="0" applyFont="1" applyBorder="1"/>
    <xf numFmtId="0" fontId="18" fillId="0" borderId="89" xfId="0" applyFont="1" applyBorder="1" applyAlignment="1">
      <alignment horizontal="center" vertical="center"/>
    </xf>
    <xf numFmtId="0" fontId="18" fillId="14" borderId="89" xfId="0" applyFont="1" applyFill="1" applyBorder="1" applyAlignment="1">
      <alignment horizontal="center" vertical="center"/>
    </xf>
    <xf numFmtId="0" fontId="47" fillId="19" borderId="90" xfId="0" applyFont="1" applyFill="1" applyBorder="1" applyAlignment="1">
      <alignment horizontal="center" vertical="center"/>
    </xf>
    <xf numFmtId="0" fontId="18" fillId="0" borderId="91" xfId="0" applyFont="1" applyBorder="1"/>
    <xf numFmtId="0" fontId="18" fillId="0" borderId="92" xfId="0" applyFont="1" applyBorder="1" applyAlignment="1">
      <alignment horizontal="center" vertical="center"/>
    </xf>
    <xf numFmtId="0" fontId="18" fillId="0" borderId="94" xfId="0" applyFont="1" applyBorder="1"/>
    <xf numFmtId="0" fontId="18" fillId="0" borderId="95" xfId="0" applyFont="1" applyBorder="1" applyAlignment="1">
      <alignment horizontal="center" vertical="center"/>
    </xf>
    <xf numFmtId="0" fontId="46" fillId="19" borderId="71" xfId="0" applyFont="1" applyFill="1" applyBorder="1"/>
    <xf numFmtId="0" fontId="46" fillId="19" borderId="71" xfId="0" applyFont="1" applyFill="1" applyBorder="1" applyAlignment="1">
      <alignment horizontal="center" vertical="center"/>
    </xf>
    <xf numFmtId="0" fontId="0" fillId="0" borderId="97" xfId="0" applyFont="1" applyFill="1" applyBorder="1"/>
    <xf numFmtId="0" fontId="0" fillId="0" borderId="97" xfId="0" applyFont="1" applyBorder="1"/>
    <xf numFmtId="0" fontId="0" fillId="0" borderId="0" xfId="0" applyFill="1" applyBorder="1"/>
    <xf numFmtId="0" fontId="14" fillId="0" borderId="0" xfId="0" applyFont="1" applyFill="1" applyBorder="1"/>
    <xf numFmtId="0" fontId="19" fillId="20" borderId="71" xfId="0" applyFont="1" applyFill="1" applyBorder="1"/>
    <xf numFmtId="0" fontId="14" fillId="20" borderId="71" xfId="0" applyFont="1" applyFill="1" applyBorder="1" applyAlignment="1">
      <alignment horizontal="center" vertical="center"/>
    </xf>
    <xf numFmtId="0" fontId="18" fillId="0" borderId="109" xfId="0" applyFont="1" applyBorder="1" applyAlignment="1">
      <alignment horizontal="left" vertical="center"/>
    </xf>
    <xf numFmtId="0" fontId="18" fillId="0" borderId="109" xfId="0" applyFont="1" applyFill="1" applyBorder="1" applyAlignment="1">
      <alignment horizontal="center" vertical="center"/>
    </xf>
    <xf numFmtId="0" fontId="18" fillId="23" borderId="109" xfId="0" applyNumberFormat="1" applyFont="1" applyFill="1" applyBorder="1" applyAlignment="1">
      <alignment horizontal="center" vertical="center"/>
    </xf>
    <xf numFmtId="0" fontId="18" fillId="0" borderId="109" xfId="0" applyFont="1" applyBorder="1" applyAlignment="1">
      <alignment horizontal="center" vertical="center"/>
    </xf>
    <xf numFmtId="0" fontId="19" fillId="13" borderId="109" xfId="0" applyNumberFormat="1" applyFont="1" applyFill="1" applyBorder="1" applyAlignment="1">
      <alignment horizontal="center" vertical="center"/>
    </xf>
    <xf numFmtId="0" fontId="18" fillId="0" borderId="110" xfId="0" applyFont="1" applyBorder="1" applyAlignment="1">
      <alignment horizontal="left" vertical="center"/>
    </xf>
    <xf numFmtId="0" fontId="18" fillId="0" borderId="110" xfId="0" applyFont="1" applyFill="1" applyBorder="1" applyAlignment="1">
      <alignment horizontal="center" vertical="center"/>
    </xf>
    <xf numFmtId="0" fontId="18" fillId="0" borderId="110" xfId="0" applyFont="1" applyBorder="1" applyAlignment="1">
      <alignment horizontal="center" vertical="center"/>
    </xf>
    <xf numFmtId="0" fontId="14" fillId="20" borderId="111" xfId="0" applyFont="1" applyFill="1" applyBorder="1" applyAlignment="1">
      <alignment horizontal="left"/>
    </xf>
    <xf numFmtId="0" fontId="19" fillId="20" borderId="112" xfId="0" applyNumberFormat="1" applyFont="1" applyFill="1" applyBorder="1" applyAlignment="1">
      <alignment horizontal="center" vertical="center"/>
    </xf>
    <xf numFmtId="9" fontId="0" fillId="0" borderId="0" xfId="1" applyFont="1"/>
    <xf numFmtId="0" fontId="14" fillId="0" borderId="0" xfId="0" applyNumberFormat="1" applyFont="1" applyBorder="1" applyAlignment="1">
      <alignment horizontal="center" vertical="center"/>
    </xf>
    <xf numFmtId="0" fontId="14" fillId="0" borderId="99" xfId="0" applyFont="1" applyBorder="1" applyAlignment="1">
      <alignment horizontal="left"/>
    </xf>
    <xf numFmtId="0" fontId="32" fillId="19" borderId="107" xfId="0" applyFont="1" applyFill="1" applyBorder="1" applyAlignment="1">
      <alignment horizontal="center" vertical="center" wrapText="1"/>
    </xf>
    <xf numFmtId="0" fontId="32" fillId="19" borderId="108" xfId="0" applyFont="1" applyFill="1" applyBorder="1" applyAlignment="1">
      <alignment horizontal="center" vertical="center" wrapText="1"/>
    </xf>
    <xf numFmtId="0" fontId="18" fillId="18" borderId="104" xfId="0" applyFont="1" applyFill="1" applyBorder="1" applyAlignment="1">
      <alignment vertical="center"/>
    </xf>
    <xf numFmtId="0" fontId="20" fillId="8" borderId="34" xfId="0" applyFont="1" applyFill="1" applyBorder="1" applyAlignment="1">
      <alignment horizontal="center" vertical="center" wrapText="1"/>
    </xf>
    <xf numFmtId="9" fontId="7" fillId="0" borderId="25" xfId="1" applyFont="1" applyFill="1" applyBorder="1" applyAlignment="1">
      <alignment horizontal="center" vertical="center"/>
    </xf>
    <xf numFmtId="4" fontId="4" fillId="0" borderId="40" xfId="0" applyNumberFormat="1" applyFont="1" applyBorder="1"/>
    <xf numFmtId="4" fontId="18" fillId="5" borderId="44" xfId="0" applyNumberFormat="1" applyFont="1" applyFill="1" applyBorder="1" applyAlignment="1">
      <alignment horizontal="center" vertical="center" wrapText="1"/>
    </xf>
    <xf numFmtId="4" fontId="18" fillId="5" borderId="43" xfId="0" applyNumberFormat="1" applyFont="1" applyFill="1" applyBorder="1" applyAlignment="1">
      <alignment horizontal="center" vertical="center" wrapText="1"/>
    </xf>
    <xf numFmtId="4" fontId="18" fillId="5" borderId="45" xfId="0" applyNumberFormat="1" applyFont="1" applyFill="1" applyBorder="1" applyAlignment="1">
      <alignment horizontal="center" vertical="center" wrapText="1"/>
    </xf>
    <xf numFmtId="0" fontId="0" fillId="6" borderId="95" xfId="0" applyFill="1" applyBorder="1" applyAlignment="1">
      <alignment horizontal="center" vertical="center"/>
    </xf>
    <xf numFmtId="0" fontId="0" fillId="0" borderId="115" xfId="0" applyBorder="1"/>
    <xf numFmtId="0" fontId="0" fillId="0" borderId="116" xfId="0" applyBorder="1" applyAlignment="1">
      <alignment horizontal="center" vertical="center"/>
    </xf>
    <xf numFmtId="0" fontId="33" fillId="19" borderId="117" xfId="0" applyFont="1" applyFill="1" applyBorder="1" applyAlignment="1">
      <alignment horizontal="center" vertical="center"/>
    </xf>
    <xf numFmtId="0" fontId="0" fillId="6" borderId="92" xfId="0" applyFill="1" applyBorder="1" applyAlignment="1">
      <alignment horizontal="center" vertical="center"/>
    </xf>
    <xf numFmtId="0" fontId="0" fillId="6" borderId="116" xfId="0" applyFill="1" applyBorder="1" applyAlignment="1">
      <alignment horizontal="center" vertical="center"/>
    </xf>
    <xf numFmtId="0" fontId="5" fillId="0" borderId="0" xfId="0" applyFont="1" applyBorder="1" applyAlignment="1"/>
    <xf numFmtId="0" fontId="18" fillId="0" borderId="118" xfId="0" applyFont="1" applyFill="1" applyBorder="1" applyAlignment="1">
      <alignment horizontal="center" vertical="center"/>
    </xf>
    <xf numFmtId="0" fontId="18" fillId="0" borderId="118" xfId="0" applyFont="1" applyBorder="1" applyAlignment="1">
      <alignment horizontal="center" vertical="center"/>
    </xf>
    <xf numFmtId="0" fontId="19" fillId="10" borderId="119" xfId="0" applyFont="1" applyFill="1" applyBorder="1" applyAlignment="1">
      <alignment horizontal="center" vertical="center" wrapText="1"/>
    </xf>
    <xf numFmtId="0" fontId="0" fillId="0" borderId="46" xfId="0" pivotButton="1" applyBorder="1"/>
    <xf numFmtId="0" fontId="0" fillId="0" borderId="98" xfId="0" pivotButton="1" applyBorder="1"/>
    <xf numFmtId="0" fontId="0" fillId="0" borderId="57" xfId="0" pivotButton="1" applyBorder="1"/>
    <xf numFmtId="0" fontId="0" fillId="0" borderId="99" xfId="0" pivotButton="1" applyBorder="1"/>
    <xf numFmtId="0" fontId="19" fillId="10" borderId="113" xfId="0" applyFont="1" applyFill="1" applyBorder="1" applyAlignment="1">
      <alignment horizontal="center" vertical="center" wrapText="1"/>
    </xf>
    <xf numFmtId="0" fontId="0" fillId="0" borderId="120" xfId="0" applyBorder="1"/>
    <xf numFmtId="0" fontId="0" fillId="0" borderId="0" xfId="0" applyAlignment="1"/>
    <xf numFmtId="4" fontId="0" fillId="0" borderId="71" xfId="0" applyNumberFormat="1" applyBorder="1" applyAlignment="1">
      <alignment horizontal="center" vertical="center"/>
    </xf>
    <xf numFmtId="0" fontId="14" fillId="15" borderId="71" xfId="0" applyFont="1" applyFill="1" applyBorder="1" applyAlignment="1">
      <alignment horizontal="center" vertical="center"/>
    </xf>
    <xf numFmtId="4" fontId="14" fillId="15" borderId="71" xfId="0" applyNumberFormat="1" applyFont="1" applyFill="1" applyBorder="1" applyAlignment="1">
      <alignment horizontal="center" vertical="center"/>
    </xf>
    <xf numFmtId="0" fontId="14" fillId="15" borderId="71" xfId="0" applyFont="1" applyFill="1" applyBorder="1"/>
    <xf numFmtId="4" fontId="5" fillId="15" borderId="71" xfId="0" applyNumberFormat="1" applyFont="1" applyFill="1" applyBorder="1" applyAlignment="1">
      <alignment horizontal="center" vertical="center"/>
    </xf>
    <xf numFmtId="0" fontId="14" fillId="9" borderId="71" xfId="0" applyFont="1" applyFill="1" applyBorder="1" applyAlignment="1">
      <alignment horizontal="center" vertical="center"/>
    </xf>
    <xf numFmtId="0" fontId="0" fillId="9" borderId="71" xfId="0" applyFill="1" applyBorder="1" applyAlignment="1">
      <alignment horizontal="center" vertical="center"/>
    </xf>
    <xf numFmtId="0" fontId="0" fillId="14" borderId="71" xfId="0" applyFill="1" applyBorder="1"/>
    <xf numFmtId="0" fontId="14" fillId="22" borderId="71" xfId="0" applyFont="1" applyFill="1" applyBorder="1"/>
    <xf numFmtId="4" fontId="14" fillId="22" borderId="71" xfId="0" applyNumberFormat="1" applyFont="1" applyFill="1" applyBorder="1" applyAlignment="1">
      <alignment horizontal="center" vertical="center"/>
    </xf>
    <xf numFmtId="4" fontId="5" fillId="22" borderId="71" xfId="0" applyNumberFormat="1" applyFont="1" applyFill="1" applyBorder="1" applyAlignment="1">
      <alignment horizontal="center" vertical="center"/>
    </xf>
    <xf numFmtId="0" fontId="14" fillId="22" borderId="71" xfId="0" applyFont="1" applyFill="1" applyBorder="1" applyAlignment="1">
      <alignment horizontal="center" vertical="center"/>
    </xf>
    <xf numFmtId="0" fontId="14" fillId="24" borderId="71" xfId="0" applyFont="1" applyFill="1" applyBorder="1" applyAlignment="1">
      <alignment horizontal="center" vertical="center"/>
    </xf>
    <xf numFmtId="4" fontId="14" fillId="24" borderId="71" xfId="0" applyNumberFormat="1" applyFont="1" applyFill="1" applyBorder="1" applyAlignment="1">
      <alignment horizontal="center" vertical="center"/>
    </xf>
    <xf numFmtId="0" fontId="14" fillId="24" borderId="71" xfId="0" applyFont="1" applyFill="1" applyBorder="1"/>
    <xf numFmtId="4" fontId="5" fillId="24" borderId="71" xfId="0" applyNumberFormat="1" applyFont="1" applyFill="1" applyBorder="1" applyAlignment="1">
      <alignment horizontal="center" vertical="center"/>
    </xf>
    <xf numFmtId="4" fontId="48" fillId="25" borderId="120" xfId="0" applyNumberFormat="1" applyFont="1" applyFill="1" applyBorder="1"/>
    <xf numFmtId="0" fontId="33" fillId="6" borderId="0" xfId="0" applyFont="1" applyFill="1"/>
    <xf numFmtId="4" fontId="7" fillId="5" borderId="12" xfId="0" applyNumberFormat="1" applyFont="1" applyFill="1" applyBorder="1" applyAlignment="1">
      <alignment horizontal="center" vertical="center"/>
    </xf>
    <xf numFmtId="0" fontId="49" fillId="9" borderId="71" xfId="0" applyFont="1" applyFill="1" applyBorder="1" applyAlignment="1">
      <alignment horizontal="center" vertical="center"/>
    </xf>
    <xf numFmtId="0" fontId="14" fillId="6" borderId="0" xfId="0" applyFont="1" applyFill="1"/>
    <xf numFmtId="4" fontId="14" fillId="6" borderId="0" xfId="0" applyNumberFormat="1" applyFont="1" applyFill="1" applyAlignment="1">
      <alignment horizontal="center" vertical="center"/>
    </xf>
    <xf numFmtId="4" fontId="5" fillId="6" borderId="0" xfId="0" applyNumberFormat="1" applyFont="1" applyFill="1" applyAlignment="1">
      <alignment horizontal="center" vertical="center"/>
    </xf>
    <xf numFmtId="4" fontId="0" fillId="0" borderId="0" xfId="0" applyNumberFormat="1" applyAlignment="1">
      <alignment horizontal="center" vertical="center"/>
    </xf>
    <xf numFmtId="0" fontId="49" fillId="0" borderId="0" xfId="0" applyFont="1"/>
    <xf numFmtId="9" fontId="7" fillId="0" borderId="12" xfId="1" applyFont="1" applyFill="1" applyBorder="1" applyAlignment="1">
      <alignment horizontal="center" vertical="center"/>
    </xf>
    <xf numFmtId="4" fontId="4" fillId="0" borderId="41" xfId="0" applyNumberFormat="1" applyFont="1" applyBorder="1"/>
    <xf numFmtId="14" fontId="0" fillId="0" borderId="71" xfId="0" applyNumberFormat="1" applyBorder="1"/>
    <xf numFmtId="0" fontId="0" fillId="27" borderId="71" xfId="0" applyFill="1" applyBorder="1" applyAlignment="1">
      <alignment horizontal="center" vertical="center" wrapText="1"/>
    </xf>
    <xf numFmtId="14" fontId="0" fillId="0" borderId="0" xfId="0" applyNumberFormat="1"/>
    <xf numFmtId="0" fontId="14" fillId="18" borderId="123" xfId="0" applyFont="1" applyFill="1" applyBorder="1" applyAlignment="1">
      <alignment horizontal="center" vertical="center"/>
    </xf>
    <xf numFmtId="0" fontId="14" fillId="18" borderId="124" xfId="0" applyFont="1" applyFill="1" applyBorder="1" applyAlignment="1">
      <alignment horizontal="center" vertical="center"/>
    </xf>
    <xf numFmtId="0" fontId="14" fillId="18" borderId="125" xfId="0" applyFont="1" applyFill="1" applyBorder="1" applyAlignment="1">
      <alignment horizontal="center" vertical="center"/>
    </xf>
    <xf numFmtId="0" fontId="32" fillId="28" borderId="0" xfId="0" applyFont="1" applyFill="1" applyAlignment="1">
      <alignment horizontal="center"/>
    </xf>
    <xf numFmtId="0" fontId="0" fillId="18" borderId="126" xfId="0" applyFill="1" applyBorder="1" applyAlignment="1">
      <alignment horizontal="center" vertical="center"/>
    </xf>
    <xf numFmtId="4" fontId="0" fillId="0" borderId="71" xfId="4" applyNumberFormat="1" applyFont="1" applyBorder="1"/>
    <xf numFmtId="4" fontId="0" fillId="0" borderId="108" xfId="4" applyNumberFormat="1" applyFont="1" applyBorder="1"/>
    <xf numFmtId="4" fontId="0" fillId="0" borderId="97" xfId="4" applyNumberFormat="1" applyFont="1" applyBorder="1"/>
    <xf numFmtId="4" fontId="0" fillId="0" borderId="127" xfId="4" applyNumberFormat="1" applyFont="1" applyBorder="1"/>
    <xf numFmtId="0" fontId="0" fillId="18" borderId="128" xfId="0" applyFill="1" applyBorder="1" applyAlignment="1">
      <alignment horizontal="center" vertical="center"/>
    </xf>
    <xf numFmtId="4" fontId="0" fillId="0" borderId="105" xfId="4" applyNumberFormat="1" applyFont="1" applyBorder="1"/>
    <xf numFmtId="4" fontId="0" fillId="0" borderId="129" xfId="4" applyNumberFormat="1" applyFont="1" applyBorder="1"/>
    <xf numFmtId="0" fontId="0" fillId="18" borderId="130" xfId="0" applyFill="1" applyBorder="1" applyAlignment="1">
      <alignment horizontal="center" vertical="center"/>
    </xf>
    <xf numFmtId="4" fontId="0" fillId="0" borderId="107" xfId="4" applyNumberFormat="1" applyFont="1" applyBorder="1"/>
    <xf numFmtId="4" fontId="0" fillId="0" borderId="74" xfId="4" applyNumberFormat="1" applyFont="1" applyBorder="1"/>
    <xf numFmtId="4" fontId="0" fillId="0" borderId="131" xfId="4" applyNumberFormat="1" applyFont="1" applyBorder="1"/>
    <xf numFmtId="0" fontId="32" fillId="28" borderId="123" xfId="0" applyFont="1" applyFill="1" applyBorder="1" applyAlignment="1">
      <alignment horizontal="center" vertical="center"/>
    </xf>
    <xf numFmtId="4" fontId="32" fillId="28" borderId="122" xfId="4" applyNumberFormat="1" applyFont="1" applyFill="1" applyBorder="1"/>
    <xf numFmtId="4" fontId="32" fillId="28" borderId="125" xfId="4" applyNumberFormat="1" applyFont="1" applyFill="1" applyBorder="1"/>
    <xf numFmtId="4" fontId="32" fillId="28" borderId="121" xfId="4" applyNumberFormat="1" applyFont="1" applyFill="1" applyBorder="1"/>
    <xf numFmtId="4" fontId="32" fillId="28" borderId="132" xfId="4" applyNumberFormat="1" applyFont="1" applyFill="1" applyBorder="1"/>
    <xf numFmtId="0" fontId="0" fillId="0" borderId="126" xfId="0" applyBorder="1" applyAlignment="1">
      <alignment horizontal="center"/>
    </xf>
    <xf numFmtId="0" fontId="0" fillId="26" borderId="128" xfId="0" applyFill="1" applyBorder="1" applyAlignment="1">
      <alignment horizontal="center" vertical="center"/>
    </xf>
    <xf numFmtId="0" fontId="0" fillId="26" borderId="133" xfId="0" applyFill="1" applyBorder="1" applyAlignment="1">
      <alignment horizontal="center" vertical="center"/>
    </xf>
    <xf numFmtId="166" fontId="0" fillId="0" borderId="134" xfId="4" applyNumberFormat="1" applyFont="1" applyBorder="1"/>
    <xf numFmtId="166" fontId="0" fillId="0" borderId="135" xfId="4" applyNumberFormat="1" applyFont="1" applyBorder="1"/>
    <xf numFmtId="166" fontId="0" fillId="0" borderId="136" xfId="4" applyNumberFormat="1" applyFont="1" applyBorder="1"/>
    <xf numFmtId="0" fontId="11" fillId="2" borderId="2"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3" xfId="0" applyFont="1" applyFill="1" applyBorder="1" applyAlignment="1">
      <alignment horizontal="center" vertical="center" wrapText="1"/>
    </xf>
    <xf numFmtId="0" fontId="24" fillId="3" borderId="4" xfId="0" applyFont="1" applyFill="1" applyBorder="1" applyAlignment="1">
      <alignment horizontal="center" vertical="center" wrapText="1"/>
    </xf>
    <xf numFmtId="0" fontId="3" fillId="0" borderId="46" xfId="0" applyFont="1" applyBorder="1" applyAlignment="1">
      <alignment horizontal="center"/>
    </xf>
    <xf numFmtId="0" fontId="3" fillId="0" borderId="59" xfId="0" applyFont="1" applyBorder="1" applyAlignment="1">
      <alignment horizontal="center"/>
    </xf>
    <xf numFmtId="0" fontId="3" fillId="0" borderId="60" xfId="0" applyFont="1" applyBorder="1" applyAlignment="1">
      <alignment horizontal="center"/>
    </xf>
    <xf numFmtId="9" fontId="3" fillId="0" borderId="0" xfId="1" applyFont="1" applyAlignment="1">
      <alignment horizontal="left"/>
    </xf>
    <xf numFmtId="0" fontId="11" fillId="9" borderId="0" xfId="0" applyFont="1" applyFill="1" applyBorder="1" applyAlignment="1">
      <alignment horizontal="center" vertical="center" wrapText="1"/>
    </xf>
    <xf numFmtId="0" fontId="11" fillId="9" borderId="17" xfId="0" applyFont="1" applyFill="1" applyBorder="1" applyAlignment="1">
      <alignment horizontal="center" vertical="center" wrapText="1"/>
    </xf>
    <xf numFmtId="0" fontId="11" fillId="9" borderId="2" xfId="0" applyFont="1" applyFill="1" applyBorder="1" applyAlignment="1">
      <alignment horizontal="center" vertical="center" wrapText="1"/>
    </xf>
    <xf numFmtId="0" fontId="11" fillId="9" borderId="16" xfId="0" applyFont="1" applyFill="1" applyBorder="1" applyAlignment="1">
      <alignment horizontal="center" vertical="center" wrapText="1"/>
    </xf>
    <xf numFmtId="9" fontId="16" fillId="0" borderId="0" xfId="1" applyFont="1" applyAlignment="1">
      <alignment horizontal="left"/>
    </xf>
    <xf numFmtId="0" fontId="11" fillId="9" borderId="73" xfId="0" applyFont="1" applyFill="1" applyBorder="1" applyAlignment="1">
      <alignment horizontal="center" vertical="center" wrapText="1"/>
    </xf>
    <xf numFmtId="0" fontId="11" fillId="9" borderId="74" xfId="0" applyFont="1" applyFill="1" applyBorder="1" applyAlignment="1">
      <alignment horizontal="center" vertical="center" wrapText="1"/>
    </xf>
    <xf numFmtId="0" fontId="11" fillId="9" borderId="72" xfId="0" applyFont="1" applyFill="1" applyBorder="1" applyAlignment="1">
      <alignment horizontal="center" vertical="center" wrapText="1"/>
    </xf>
    <xf numFmtId="0" fontId="11" fillId="9" borderId="75" xfId="0" applyFont="1" applyFill="1" applyBorder="1" applyAlignment="1">
      <alignment horizontal="center" vertical="center" wrapText="1"/>
    </xf>
    <xf numFmtId="0" fontId="11" fillId="9" borderId="76" xfId="0" applyFont="1" applyFill="1" applyBorder="1" applyAlignment="1">
      <alignment horizontal="center" vertical="center" wrapText="1"/>
    </xf>
    <xf numFmtId="0" fontId="11" fillId="9" borderId="77" xfId="0" applyFont="1" applyFill="1" applyBorder="1" applyAlignment="1">
      <alignment horizontal="center" vertical="center" wrapText="1"/>
    </xf>
    <xf numFmtId="0" fontId="32" fillId="25" borderId="46" xfId="0" applyFont="1" applyFill="1" applyBorder="1" applyAlignment="1">
      <alignment horizontal="left" vertical="center"/>
    </xf>
    <xf numFmtId="0" fontId="32" fillId="25" borderId="121" xfId="0" applyFont="1" applyFill="1" applyBorder="1" applyAlignment="1">
      <alignment horizontal="left" vertical="center"/>
    </xf>
    <xf numFmtId="0" fontId="19" fillId="22" borderId="46" xfId="0" applyFont="1" applyFill="1" applyBorder="1" applyAlignment="1">
      <alignment horizontal="center"/>
    </xf>
    <xf numFmtId="0" fontId="19" fillId="22" borderId="121" xfId="0" applyFont="1" applyFill="1" applyBorder="1" applyAlignment="1">
      <alignment horizontal="center"/>
    </xf>
    <xf numFmtId="0" fontId="19" fillId="22" borderId="120" xfId="0" applyFont="1" applyFill="1" applyBorder="1" applyAlignment="1">
      <alignment horizontal="center"/>
    </xf>
    <xf numFmtId="0" fontId="19" fillId="24" borderId="46" xfId="0" applyFont="1" applyFill="1" applyBorder="1" applyAlignment="1">
      <alignment horizontal="center"/>
    </xf>
    <xf numFmtId="0" fontId="19" fillId="24" borderId="121" xfId="0" applyFont="1" applyFill="1" applyBorder="1" applyAlignment="1">
      <alignment horizontal="center"/>
    </xf>
    <xf numFmtId="0" fontId="19" fillId="24" borderId="120" xfId="0" applyFont="1" applyFill="1" applyBorder="1" applyAlignment="1">
      <alignment horizontal="center"/>
    </xf>
    <xf numFmtId="0" fontId="19" fillId="15" borderId="99" xfId="0" applyFont="1" applyFill="1" applyBorder="1" applyAlignment="1">
      <alignment horizontal="center"/>
    </xf>
    <xf numFmtId="0" fontId="19" fillId="15" borderId="0" xfId="0" applyFont="1" applyFill="1" applyBorder="1" applyAlignment="1">
      <alignment horizontal="center"/>
    </xf>
    <xf numFmtId="0" fontId="19" fillId="0" borderId="66" xfId="0" applyFont="1" applyBorder="1" applyAlignment="1">
      <alignment horizontal="center" vertical="center" wrapText="1"/>
    </xf>
    <xf numFmtId="0" fontId="19" fillId="0" borderId="67" xfId="0" applyFont="1" applyBorder="1" applyAlignment="1">
      <alignment horizontal="center" vertical="center" wrapText="1"/>
    </xf>
    <xf numFmtId="0" fontId="19" fillId="0" borderId="68" xfId="0" applyFont="1" applyBorder="1" applyAlignment="1">
      <alignment horizontal="center" vertical="center" wrapText="1"/>
    </xf>
    <xf numFmtId="0" fontId="19" fillId="10" borderId="113" xfId="0" applyFont="1" applyFill="1" applyBorder="1" applyAlignment="1">
      <alignment horizontal="center" vertical="center" wrapText="1"/>
    </xf>
    <xf numFmtId="0" fontId="19" fillId="10" borderId="114" xfId="0" applyFont="1" applyFill="1" applyBorder="1" applyAlignment="1">
      <alignment horizontal="center" vertical="center" wrapText="1"/>
    </xf>
    <xf numFmtId="0" fontId="17" fillId="0" borderId="46" xfId="0" applyFont="1" applyBorder="1" applyAlignment="1">
      <alignment horizontal="center"/>
    </xf>
    <xf numFmtId="0" fontId="17" fillId="0" borderId="121" xfId="0" applyFont="1" applyBorder="1" applyAlignment="1">
      <alignment horizontal="center"/>
    </xf>
    <xf numFmtId="0" fontId="17" fillId="0" borderId="120" xfId="0" applyFont="1" applyBorder="1" applyAlignment="1">
      <alignment horizontal="center"/>
    </xf>
    <xf numFmtId="0" fontId="19" fillId="0" borderId="31" xfId="0" applyFont="1" applyBorder="1" applyAlignment="1">
      <alignment horizontal="center" vertical="center" wrapText="1"/>
    </xf>
    <xf numFmtId="0" fontId="19" fillId="0" borderId="32" xfId="0" applyFont="1" applyBorder="1" applyAlignment="1">
      <alignment horizontal="center" vertical="center" wrapText="1"/>
    </xf>
    <xf numFmtId="0" fontId="19" fillId="0" borderId="33" xfId="0" applyFont="1" applyBorder="1" applyAlignment="1">
      <alignment horizontal="center" vertical="center" wrapText="1"/>
    </xf>
    <xf numFmtId="0" fontId="17" fillId="0" borderId="59" xfId="0" applyFont="1" applyBorder="1" applyAlignment="1">
      <alignment horizontal="center"/>
    </xf>
    <xf numFmtId="0" fontId="17" fillId="0" borderId="60" xfId="0" applyFont="1" applyBorder="1" applyAlignment="1">
      <alignment horizontal="center"/>
    </xf>
    <xf numFmtId="10" fontId="25" fillId="0" borderId="57" xfId="0" applyNumberFormat="1" applyFont="1" applyBorder="1" applyAlignment="1">
      <alignment horizontal="center" vertical="center"/>
    </xf>
    <xf numFmtId="10" fontId="25" fillId="0" borderId="58" xfId="0" applyNumberFormat="1" applyFont="1" applyBorder="1" applyAlignment="1">
      <alignment horizontal="center" vertical="center"/>
    </xf>
    <xf numFmtId="10" fontId="50" fillId="0" borderId="57" xfId="0" applyNumberFormat="1" applyFont="1" applyBorder="1" applyAlignment="1">
      <alignment horizontal="center" vertical="center"/>
    </xf>
    <xf numFmtId="10" fontId="50" fillId="0" borderId="58" xfId="0" applyNumberFormat="1" applyFont="1" applyBorder="1" applyAlignment="1">
      <alignment horizontal="center" vertical="center"/>
    </xf>
    <xf numFmtId="0" fontId="19" fillId="0" borderId="51" xfId="0" applyFont="1" applyBorder="1" applyAlignment="1">
      <alignment horizontal="center" vertical="center"/>
    </xf>
    <xf numFmtId="0" fontId="19" fillId="0" borderId="52" xfId="0" applyFont="1" applyBorder="1" applyAlignment="1">
      <alignment horizontal="center" vertical="center"/>
    </xf>
    <xf numFmtId="4" fontId="25" fillId="0" borderId="54" xfId="0" applyNumberFormat="1" applyFont="1" applyBorder="1" applyAlignment="1">
      <alignment horizontal="center" vertical="center"/>
    </xf>
    <xf numFmtId="4" fontId="25" fillId="0" borderId="53" xfId="0" applyNumberFormat="1" applyFont="1" applyBorder="1" applyAlignment="1">
      <alignment horizontal="center" vertical="center"/>
    </xf>
    <xf numFmtId="4" fontId="50" fillId="0" borderId="54" xfId="0" applyNumberFormat="1" applyFont="1" applyBorder="1" applyAlignment="1">
      <alignment horizontal="center" vertical="center"/>
    </xf>
    <xf numFmtId="4" fontId="50" fillId="0" borderId="53" xfId="0" applyNumberFormat="1" applyFont="1" applyBorder="1" applyAlignment="1">
      <alignment horizontal="center" vertical="center"/>
    </xf>
    <xf numFmtId="0" fontId="42" fillId="0" borderId="0" xfId="0" applyFont="1" applyBorder="1" applyAlignment="1">
      <alignment horizontal="center"/>
    </xf>
    <xf numFmtId="0" fontId="19" fillId="0" borderId="0" xfId="0" applyFont="1" applyAlignment="1">
      <alignment horizontal="center"/>
    </xf>
    <xf numFmtId="0" fontId="14" fillId="0" borderId="98" xfId="0" applyFont="1" applyBorder="1" applyAlignment="1">
      <alignment horizontal="center" vertical="center"/>
    </xf>
    <xf numFmtId="0" fontId="14" fillId="0" borderId="57" xfId="0" applyFont="1" applyBorder="1" applyAlignment="1">
      <alignment horizontal="center" vertical="center"/>
    </xf>
    <xf numFmtId="0" fontId="14" fillId="0" borderId="59" xfId="0" applyFont="1" applyBorder="1" applyAlignment="1">
      <alignment horizontal="center" vertical="center"/>
    </xf>
    <xf numFmtId="0" fontId="14" fillId="0" borderId="60" xfId="0" applyFont="1" applyBorder="1" applyAlignment="1">
      <alignment horizontal="center" vertical="center"/>
    </xf>
    <xf numFmtId="0" fontId="30" fillId="14" borderId="107" xfId="0" applyFont="1" applyFill="1" applyBorder="1" applyAlignment="1">
      <alignment horizontal="center" vertical="center" wrapText="1"/>
    </xf>
    <xf numFmtId="0" fontId="30" fillId="14" borderId="108" xfId="0" applyFont="1" applyFill="1" applyBorder="1" applyAlignment="1">
      <alignment horizontal="center" vertical="center" wrapText="1"/>
    </xf>
    <xf numFmtId="0" fontId="0" fillId="18" borderId="104" xfId="0" applyFill="1" applyBorder="1" applyAlignment="1">
      <alignment horizontal="center"/>
    </xf>
    <xf numFmtId="0" fontId="0" fillId="18" borderId="106" xfId="0" applyFill="1" applyBorder="1" applyAlignment="1">
      <alignment horizontal="center"/>
    </xf>
    <xf numFmtId="0" fontId="0" fillId="7" borderId="105" xfId="0" applyFill="1" applyBorder="1" applyAlignment="1">
      <alignment horizontal="center"/>
    </xf>
    <xf numFmtId="0" fontId="0" fillId="7" borderId="106" xfId="0" applyFill="1" applyBorder="1" applyAlignment="1">
      <alignment horizontal="center"/>
    </xf>
    <xf numFmtId="0" fontId="18" fillId="14" borderId="71" xfId="0" applyFont="1" applyFill="1" applyBorder="1" applyAlignment="1">
      <alignment horizontal="center" vertical="center" wrapText="1"/>
    </xf>
    <xf numFmtId="0" fontId="46" fillId="19" borderId="71" xfId="0" applyFont="1" applyFill="1" applyBorder="1" applyAlignment="1">
      <alignment horizontal="center" vertical="center" wrapText="1"/>
    </xf>
    <xf numFmtId="0" fontId="18" fillId="7" borderId="104" xfId="0" applyFont="1" applyFill="1" applyBorder="1" applyAlignment="1">
      <alignment horizontal="center" vertical="center"/>
    </xf>
    <xf numFmtId="0" fontId="18" fillId="7" borderId="106" xfId="0" applyFont="1" applyFill="1" applyBorder="1" applyAlignment="1">
      <alignment horizontal="center" vertical="center"/>
    </xf>
    <xf numFmtId="0" fontId="5" fillId="0" borderId="71" xfId="0" applyFont="1" applyBorder="1" applyAlignment="1">
      <alignment horizontal="center"/>
    </xf>
    <xf numFmtId="0" fontId="45" fillId="22" borderId="104" xfId="0" applyFont="1" applyFill="1" applyBorder="1" applyAlignment="1">
      <alignment horizontal="center" vertical="center"/>
    </xf>
    <xf numFmtId="0" fontId="45" fillId="22" borderId="106" xfId="0" applyFont="1" applyFill="1" applyBorder="1" applyAlignment="1">
      <alignment horizontal="center" vertical="center"/>
    </xf>
    <xf numFmtId="0" fontId="42" fillId="0" borderId="71" xfId="0" applyFont="1" applyFill="1" applyBorder="1" applyAlignment="1">
      <alignment horizontal="center"/>
    </xf>
    <xf numFmtId="0" fontId="14" fillId="23" borderId="107" xfId="0" applyFont="1" applyFill="1" applyBorder="1" applyAlignment="1">
      <alignment horizontal="center" vertical="center" wrapText="1"/>
    </xf>
    <xf numFmtId="0" fontId="14" fillId="23" borderId="108" xfId="0" applyFont="1" applyFill="1" applyBorder="1" applyAlignment="1">
      <alignment horizontal="center" vertical="center" wrapText="1"/>
    </xf>
    <xf numFmtId="0" fontId="45" fillId="13" borderId="107" xfId="0" applyFont="1" applyFill="1" applyBorder="1" applyAlignment="1">
      <alignment horizontal="center" vertical="center" wrapText="1"/>
    </xf>
    <xf numFmtId="0" fontId="45" fillId="13" borderId="108" xfId="0" applyFont="1" applyFill="1" applyBorder="1" applyAlignment="1">
      <alignment horizontal="center" vertical="center" wrapText="1"/>
    </xf>
    <xf numFmtId="0" fontId="14" fillId="18" borderId="104" xfId="0" applyFont="1" applyFill="1" applyBorder="1" applyAlignment="1">
      <alignment horizontal="center" vertical="center"/>
    </xf>
    <xf numFmtId="0" fontId="14" fillId="18" borderId="106" xfId="0" applyFont="1" applyFill="1" applyBorder="1" applyAlignment="1">
      <alignment horizontal="center" vertical="center"/>
    </xf>
  </cellXfs>
  <cellStyles count="6">
    <cellStyle name="Millares" xfId="4" builtinId="3"/>
    <cellStyle name="Millares 2" xfId="2"/>
    <cellStyle name="Millares 3" xfId="3"/>
    <cellStyle name="Normal" xfId="0" builtinId="0"/>
    <cellStyle name="Normal 2" xfId="5"/>
    <cellStyle name="Porcentaje" xfId="1" builtinId="5"/>
  </cellStyles>
  <dxfs count="15">
    <dxf>
      <font>
        <b/>
      </font>
    </dxf>
    <dxf>
      <font>
        <b/>
      </font>
    </dxf>
    <dxf>
      <fill>
        <patternFill patternType="solid">
          <bgColor theme="0" tint="-0.249977111117893"/>
        </patternFill>
      </fill>
    </dxf>
    <dxf>
      <fill>
        <patternFill patternType="solid">
          <bgColor theme="0" tint="-0.249977111117893"/>
        </patternFill>
      </fill>
    </dxf>
    <dxf>
      <border>
        <left style="medium">
          <color indexed="64"/>
        </left>
        <right style="medium">
          <color indexed="64"/>
        </right>
        <top style="medium">
          <color indexed="64"/>
        </top>
        <bottom style="medium">
          <color indexed="64"/>
        </bottom>
      </border>
    </dxf>
    <dxf>
      <alignment horizontal="center"/>
    </dxf>
    <dxf>
      <alignment horizontal="center"/>
    </dxf>
    <dxf>
      <alignment horizontal="center"/>
    </dxf>
    <dxf>
      <alignment vertical="center"/>
    </dxf>
    <dxf>
      <alignment vertical="center"/>
    </dxf>
    <dxf>
      <alignment vertical="center"/>
    </dxf>
    <dxf>
      <font>
        <sz val="8"/>
      </font>
    </dxf>
    <dxf>
      <alignment wrapText="1"/>
    </dxf>
    <dxf>
      <alignment horizontal="center"/>
    </dxf>
    <dxf>
      <alignment vertical="cent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microsoft.com/office/2011/relationships/chartStyle" Target="style3.xml"/><Relationship Id="rId2" Type="http://schemas.microsoft.com/office/2011/relationships/chartColorStyle" Target="colors3.xml"/><Relationship Id="rId1" Type="http://schemas.openxmlformats.org/officeDocument/2006/relationships/chartUserShapes" Target="../drawings/drawing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'Expo Arg Citricos a sem 32'!$C$9</c:f>
              <c:strCache>
                <c:ptCount val="1"/>
                <c:pt idx="0">
                  <c:v>Limon</c:v>
                </c:pt>
              </c:strCache>
            </c:strRef>
          </c:tx>
          <c:spPr>
            <a:solidFill>
              <a:schemeClr val="accent1"/>
            </a:solidFill>
            <a:ln>
              <a:noFill/>
            </a:ln>
            <a:effectLst/>
          </c:spPr>
          <c:invertIfNegative val="0"/>
          <c:cat>
            <c:strRef>
              <c:f>'Expo Arg Citricos a sem 32'!$B$10:$B$18</c:f>
              <c:strCache>
                <c:ptCount val="9"/>
                <c:pt idx="0">
                  <c:v>Enero</c:v>
                </c:pt>
                <c:pt idx="1">
                  <c:v>Febrero</c:v>
                </c:pt>
                <c:pt idx="2">
                  <c:v>Marzo</c:v>
                </c:pt>
                <c:pt idx="3">
                  <c:v>Abril</c:v>
                </c:pt>
                <c:pt idx="4">
                  <c:v>Mayo</c:v>
                </c:pt>
                <c:pt idx="5">
                  <c:v>Junio </c:v>
                </c:pt>
                <c:pt idx="6">
                  <c:v>Julio </c:v>
                </c:pt>
                <c:pt idx="7">
                  <c:v>Agosto 13/08</c:v>
                </c:pt>
                <c:pt idx="8">
                  <c:v>Total Acum Sem 32</c:v>
                </c:pt>
              </c:strCache>
            </c:strRef>
          </c:cat>
          <c:val>
            <c:numRef>
              <c:f>'Expo Arg Citricos a sem 32'!$C$10:$C$18</c:f>
              <c:numCache>
                <c:formatCode>#,##0.00</c:formatCode>
                <c:ptCount val="9"/>
                <c:pt idx="0">
                  <c:v>34.019999999999996</c:v>
                </c:pt>
                <c:pt idx="1">
                  <c:v>20.004000000000001</c:v>
                </c:pt>
                <c:pt idx="2">
                  <c:v>1737.1500000000008</c:v>
                </c:pt>
                <c:pt idx="3">
                  <c:v>13022.533200000013</c:v>
                </c:pt>
                <c:pt idx="4">
                  <c:v>29170.760399999985</c:v>
                </c:pt>
                <c:pt idx="5">
                  <c:v>70925.565231999804</c:v>
                </c:pt>
                <c:pt idx="6">
                  <c:v>75472.791087997539</c:v>
                </c:pt>
                <c:pt idx="7">
                  <c:v>25766.174241999917</c:v>
                </c:pt>
                <c:pt idx="8">
                  <c:v>216148.99816199724</c:v>
                </c:pt>
              </c:numCache>
            </c:numRef>
          </c:val>
          <c:extLst xmlns:c16r2="http://schemas.microsoft.com/office/drawing/2015/06/chart">
            <c:ext xmlns:c16="http://schemas.microsoft.com/office/drawing/2014/chart" uri="{C3380CC4-5D6E-409C-BE32-E72D297353CC}">
              <c16:uniqueId val="{00000000-34DF-461A-B706-383E1505A0F9}"/>
            </c:ext>
          </c:extLst>
        </c:ser>
        <c:ser>
          <c:idx val="1"/>
          <c:order val="1"/>
          <c:tx>
            <c:strRef>
              <c:f>'Expo Arg Citricos a sem 32'!$D$9</c:f>
              <c:strCache>
                <c:ptCount val="1"/>
                <c:pt idx="0">
                  <c:v>Pomelo</c:v>
                </c:pt>
              </c:strCache>
            </c:strRef>
          </c:tx>
          <c:spPr>
            <a:solidFill>
              <a:schemeClr val="accent2"/>
            </a:solidFill>
            <a:ln>
              <a:noFill/>
            </a:ln>
            <a:effectLst/>
          </c:spPr>
          <c:invertIfNegative val="0"/>
          <c:cat>
            <c:strRef>
              <c:f>'Expo Arg Citricos a sem 32'!$B$10:$B$18</c:f>
              <c:strCache>
                <c:ptCount val="9"/>
                <c:pt idx="0">
                  <c:v>Enero</c:v>
                </c:pt>
                <c:pt idx="1">
                  <c:v>Febrero</c:v>
                </c:pt>
                <c:pt idx="2">
                  <c:v>Marzo</c:v>
                </c:pt>
                <c:pt idx="3">
                  <c:v>Abril</c:v>
                </c:pt>
                <c:pt idx="4">
                  <c:v>Mayo</c:v>
                </c:pt>
                <c:pt idx="5">
                  <c:v>Junio </c:v>
                </c:pt>
                <c:pt idx="6">
                  <c:v>Julio </c:v>
                </c:pt>
                <c:pt idx="7">
                  <c:v>Agosto 13/08</c:v>
                </c:pt>
                <c:pt idx="8">
                  <c:v>Total Acum Sem 32</c:v>
                </c:pt>
              </c:strCache>
            </c:strRef>
          </c:cat>
          <c:val>
            <c:numRef>
              <c:f>'Expo Arg Citricos a sem 32'!$D$10:$D$18</c:f>
              <c:numCache>
                <c:formatCode>#,##0.00</c:formatCode>
                <c:ptCount val="9"/>
                <c:pt idx="0">
                  <c:v>0</c:v>
                </c:pt>
                <c:pt idx="1">
                  <c:v>0</c:v>
                </c:pt>
                <c:pt idx="2">
                  <c:v>13.620000000000001</c:v>
                </c:pt>
                <c:pt idx="3">
                  <c:v>0</c:v>
                </c:pt>
                <c:pt idx="4">
                  <c:v>80.175000000000011</c:v>
                </c:pt>
                <c:pt idx="5">
                  <c:v>201.5</c:v>
                </c:pt>
                <c:pt idx="6">
                  <c:v>106.68</c:v>
                </c:pt>
                <c:pt idx="7">
                  <c:v>0</c:v>
                </c:pt>
                <c:pt idx="8">
                  <c:v>401.97500000000002</c:v>
                </c:pt>
              </c:numCache>
            </c:numRef>
          </c:val>
          <c:extLst xmlns:c16r2="http://schemas.microsoft.com/office/drawing/2015/06/chart">
            <c:ext xmlns:c16="http://schemas.microsoft.com/office/drawing/2014/chart" uri="{C3380CC4-5D6E-409C-BE32-E72D297353CC}">
              <c16:uniqueId val="{00000001-34DF-461A-B706-383E1505A0F9}"/>
            </c:ext>
          </c:extLst>
        </c:ser>
        <c:ser>
          <c:idx val="2"/>
          <c:order val="2"/>
          <c:tx>
            <c:strRef>
              <c:f>'Expo Arg Citricos a sem 32'!$E$9</c:f>
              <c:strCache>
                <c:ptCount val="1"/>
                <c:pt idx="0">
                  <c:v>Mandarina</c:v>
                </c:pt>
              </c:strCache>
            </c:strRef>
          </c:tx>
          <c:spPr>
            <a:solidFill>
              <a:schemeClr val="accent3"/>
            </a:solidFill>
            <a:ln>
              <a:noFill/>
            </a:ln>
            <a:effectLst/>
          </c:spPr>
          <c:invertIfNegative val="0"/>
          <c:cat>
            <c:strRef>
              <c:f>'Expo Arg Citricos a sem 32'!$B$10:$B$18</c:f>
              <c:strCache>
                <c:ptCount val="9"/>
                <c:pt idx="0">
                  <c:v>Enero</c:v>
                </c:pt>
                <c:pt idx="1">
                  <c:v>Febrero</c:v>
                </c:pt>
                <c:pt idx="2">
                  <c:v>Marzo</c:v>
                </c:pt>
                <c:pt idx="3">
                  <c:v>Abril</c:v>
                </c:pt>
                <c:pt idx="4">
                  <c:v>Mayo</c:v>
                </c:pt>
                <c:pt idx="5">
                  <c:v>Junio </c:v>
                </c:pt>
                <c:pt idx="6">
                  <c:v>Julio </c:v>
                </c:pt>
                <c:pt idx="7">
                  <c:v>Agosto 13/08</c:v>
                </c:pt>
                <c:pt idx="8">
                  <c:v>Total Acum Sem 32</c:v>
                </c:pt>
              </c:strCache>
            </c:strRef>
          </c:cat>
          <c:val>
            <c:numRef>
              <c:f>'Expo Arg Citricos a sem 32'!$E$10:$E$18</c:f>
              <c:numCache>
                <c:formatCode>#,##0.00</c:formatCode>
                <c:ptCount val="9"/>
                <c:pt idx="0">
                  <c:v>20.8</c:v>
                </c:pt>
                <c:pt idx="1">
                  <c:v>8</c:v>
                </c:pt>
                <c:pt idx="2">
                  <c:v>301.16000000000003</c:v>
                </c:pt>
                <c:pt idx="3">
                  <c:v>1613.2720000000013</c:v>
                </c:pt>
                <c:pt idx="4">
                  <c:v>7167.3015999999907</c:v>
                </c:pt>
                <c:pt idx="5">
                  <c:v>11253.196789999987</c:v>
                </c:pt>
                <c:pt idx="6">
                  <c:v>7997.6969999999565</c:v>
                </c:pt>
                <c:pt idx="7">
                  <c:v>3495.1069999999931</c:v>
                </c:pt>
                <c:pt idx="8">
                  <c:v>31856.534389999928</c:v>
                </c:pt>
              </c:numCache>
            </c:numRef>
          </c:val>
          <c:extLst xmlns:c16r2="http://schemas.microsoft.com/office/drawing/2015/06/chart">
            <c:ext xmlns:c16="http://schemas.microsoft.com/office/drawing/2014/chart" uri="{C3380CC4-5D6E-409C-BE32-E72D297353CC}">
              <c16:uniqueId val="{00000002-34DF-461A-B706-383E1505A0F9}"/>
            </c:ext>
          </c:extLst>
        </c:ser>
        <c:ser>
          <c:idx val="3"/>
          <c:order val="3"/>
          <c:tx>
            <c:strRef>
              <c:f>'Expo Arg Citricos a sem 32'!$F$9</c:f>
              <c:strCache>
                <c:ptCount val="1"/>
                <c:pt idx="0">
                  <c:v>Naranja</c:v>
                </c:pt>
              </c:strCache>
            </c:strRef>
          </c:tx>
          <c:spPr>
            <a:solidFill>
              <a:schemeClr val="accent4"/>
            </a:solidFill>
            <a:ln>
              <a:noFill/>
            </a:ln>
            <a:effectLst/>
          </c:spPr>
          <c:invertIfNegative val="0"/>
          <c:cat>
            <c:strRef>
              <c:f>'Expo Arg Citricos a sem 32'!$B$10:$B$18</c:f>
              <c:strCache>
                <c:ptCount val="9"/>
                <c:pt idx="0">
                  <c:v>Enero</c:v>
                </c:pt>
                <c:pt idx="1">
                  <c:v>Febrero</c:v>
                </c:pt>
                <c:pt idx="2">
                  <c:v>Marzo</c:v>
                </c:pt>
                <c:pt idx="3">
                  <c:v>Abril</c:v>
                </c:pt>
                <c:pt idx="4">
                  <c:v>Mayo</c:v>
                </c:pt>
                <c:pt idx="5">
                  <c:v>Junio </c:v>
                </c:pt>
                <c:pt idx="6">
                  <c:v>Julio </c:v>
                </c:pt>
                <c:pt idx="7">
                  <c:v>Agosto 13/08</c:v>
                </c:pt>
                <c:pt idx="8">
                  <c:v>Total Acum Sem 32</c:v>
                </c:pt>
              </c:strCache>
            </c:strRef>
          </c:cat>
          <c:val>
            <c:numRef>
              <c:f>'Expo Arg Citricos a sem 32'!$F$10:$F$18</c:f>
              <c:numCache>
                <c:formatCode>#,##0.00</c:formatCode>
                <c:ptCount val="9"/>
                <c:pt idx="0">
                  <c:v>3068.8009999999999</c:v>
                </c:pt>
                <c:pt idx="1">
                  <c:v>1865.5639999999999</c:v>
                </c:pt>
                <c:pt idx="2">
                  <c:v>3029.4879999999998</c:v>
                </c:pt>
                <c:pt idx="3">
                  <c:v>1406.0060000000001</c:v>
                </c:pt>
                <c:pt idx="4">
                  <c:v>2087.0555000000004</c:v>
                </c:pt>
                <c:pt idx="5">
                  <c:v>5217.0499999999984</c:v>
                </c:pt>
                <c:pt idx="6">
                  <c:v>11421.981000000013</c:v>
                </c:pt>
                <c:pt idx="7">
                  <c:v>7925.4200000000264</c:v>
                </c:pt>
                <c:pt idx="8">
                  <c:v>36021.365500000036</c:v>
                </c:pt>
              </c:numCache>
            </c:numRef>
          </c:val>
          <c:extLst xmlns:c16r2="http://schemas.microsoft.com/office/drawing/2015/06/chart">
            <c:ext xmlns:c16="http://schemas.microsoft.com/office/drawing/2014/chart" uri="{C3380CC4-5D6E-409C-BE32-E72D297353CC}">
              <c16:uniqueId val="{00000003-34DF-461A-B706-383E1505A0F9}"/>
            </c:ext>
          </c:extLst>
        </c:ser>
        <c:dLbls>
          <c:showLegendKey val="0"/>
          <c:showVal val="0"/>
          <c:showCatName val="0"/>
          <c:showSerName val="0"/>
          <c:showPercent val="0"/>
          <c:showBubbleSize val="0"/>
        </c:dLbls>
        <c:gapWidth val="150"/>
        <c:overlap val="100"/>
        <c:axId val="268022144"/>
        <c:axId val="268023680"/>
      </c:barChart>
      <c:catAx>
        <c:axId val="2680221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268023680"/>
        <c:crosses val="autoZero"/>
        <c:auto val="1"/>
        <c:lblAlgn val="ctr"/>
        <c:lblOffset val="100"/>
        <c:noMultiLvlLbl val="0"/>
      </c:catAx>
      <c:valAx>
        <c:axId val="268023680"/>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2680221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r>
              <a:rPr lang="es-ES" sz="900">
                <a:solidFill>
                  <a:schemeClr val="tx1"/>
                </a:solidFill>
              </a:rPr>
              <a:t>Exportacion Argentina de Citricos a sem 32</a:t>
            </a:r>
          </a:p>
        </c:rich>
      </c:tx>
      <c:overlay val="0"/>
      <c:spPr>
        <a:noFill/>
        <a:ln>
          <a:noFill/>
        </a:ln>
        <a:effectLst/>
      </c:spPr>
    </c:title>
    <c:autoTitleDeleted val="0"/>
    <c:plotArea>
      <c:layout/>
      <c:doughnutChart>
        <c:varyColors val="1"/>
        <c:ser>
          <c:idx val="0"/>
          <c:order val="0"/>
          <c:dPt>
            <c:idx val="0"/>
            <c:bubble3D val="0"/>
            <c:spPr>
              <a:pattFill prst="ltUpDiag">
                <a:fgClr>
                  <a:schemeClr val="accent1"/>
                </a:fgClr>
                <a:bgClr>
                  <a:schemeClr val="accent1">
                    <a:lumMod val="20000"/>
                    <a:lumOff val="80000"/>
                  </a:schemeClr>
                </a:bgClr>
              </a:pattFill>
              <a:ln w="19050">
                <a:solidFill>
                  <a:schemeClr val="lt1"/>
                </a:solidFill>
              </a:ln>
              <a:effectLst>
                <a:innerShdw blurRad="114300">
                  <a:schemeClr val="accent1"/>
                </a:innerShdw>
              </a:effectLst>
            </c:spPr>
            <c:extLst xmlns:c16r2="http://schemas.microsoft.com/office/drawing/2015/06/chart">
              <c:ext xmlns:c16="http://schemas.microsoft.com/office/drawing/2014/chart" uri="{C3380CC4-5D6E-409C-BE32-E72D297353CC}">
                <c16:uniqueId val="{00000001-AA53-4420-A299-758641571787}"/>
              </c:ext>
            </c:extLst>
          </c:dPt>
          <c:dPt>
            <c:idx val="1"/>
            <c:bubble3D val="0"/>
            <c:spPr>
              <a:pattFill prst="ltUpDiag">
                <a:fgClr>
                  <a:schemeClr val="accent2"/>
                </a:fgClr>
                <a:bgClr>
                  <a:schemeClr val="accent2">
                    <a:lumMod val="20000"/>
                    <a:lumOff val="80000"/>
                  </a:schemeClr>
                </a:bgClr>
              </a:pattFill>
              <a:ln w="19050">
                <a:solidFill>
                  <a:schemeClr val="lt1"/>
                </a:solidFill>
              </a:ln>
              <a:effectLst>
                <a:innerShdw blurRad="114300">
                  <a:schemeClr val="accent2"/>
                </a:innerShdw>
              </a:effectLst>
            </c:spPr>
            <c:extLst xmlns:c16r2="http://schemas.microsoft.com/office/drawing/2015/06/chart">
              <c:ext xmlns:c16="http://schemas.microsoft.com/office/drawing/2014/chart" uri="{C3380CC4-5D6E-409C-BE32-E72D297353CC}">
                <c16:uniqueId val="{00000003-AA53-4420-A299-758641571787}"/>
              </c:ext>
            </c:extLst>
          </c:dPt>
          <c:dPt>
            <c:idx val="2"/>
            <c:bubble3D val="0"/>
            <c:spPr>
              <a:pattFill prst="ltUpDiag">
                <a:fgClr>
                  <a:schemeClr val="accent3"/>
                </a:fgClr>
                <a:bgClr>
                  <a:schemeClr val="accent3">
                    <a:lumMod val="20000"/>
                    <a:lumOff val="80000"/>
                  </a:schemeClr>
                </a:bgClr>
              </a:pattFill>
              <a:ln w="19050">
                <a:solidFill>
                  <a:schemeClr val="lt1"/>
                </a:solidFill>
              </a:ln>
              <a:effectLst>
                <a:innerShdw blurRad="114300">
                  <a:schemeClr val="accent3"/>
                </a:innerShdw>
              </a:effectLst>
            </c:spPr>
            <c:extLst xmlns:c16r2="http://schemas.microsoft.com/office/drawing/2015/06/chart">
              <c:ext xmlns:c16="http://schemas.microsoft.com/office/drawing/2014/chart" uri="{C3380CC4-5D6E-409C-BE32-E72D297353CC}">
                <c16:uniqueId val="{00000005-AA53-4420-A299-758641571787}"/>
              </c:ext>
            </c:extLst>
          </c:dPt>
          <c:dPt>
            <c:idx val="3"/>
            <c:bubble3D val="0"/>
            <c:spPr>
              <a:pattFill prst="ltUpDiag">
                <a:fgClr>
                  <a:schemeClr val="accent4"/>
                </a:fgClr>
                <a:bgClr>
                  <a:schemeClr val="accent4">
                    <a:lumMod val="20000"/>
                    <a:lumOff val="80000"/>
                  </a:schemeClr>
                </a:bgClr>
              </a:pattFill>
              <a:ln w="19050">
                <a:solidFill>
                  <a:schemeClr val="lt1"/>
                </a:solidFill>
              </a:ln>
              <a:effectLst>
                <a:innerShdw blurRad="114300">
                  <a:schemeClr val="accent4"/>
                </a:innerShdw>
              </a:effectLst>
            </c:spPr>
            <c:extLst xmlns:c16r2="http://schemas.microsoft.com/office/drawing/2015/06/chart">
              <c:ext xmlns:c16="http://schemas.microsoft.com/office/drawing/2014/chart" uri="{C3380CC4-5D6E-409C-BE32-E72D297353CC}">
                <c16:uniqueId val="{00000007-AA53-4420-A299-758641571787}"/>
              </c:ext>
            </c:extLst>
          </c:dPt>
          <c:dLbls>
            <c:dLbl>
              <c:idx val="0"/>
              <c:layout>
                <c:manualLayout>
                  <c:x val="0.13544018058690735"/>
                  <c:y val="-2.7777777777777776E-2"/>
                </c:manualLayout>
              </c:layout>
              <c:showLegendKey val="0"/>
              <c:showVal val="1"/>
              <c:showCatName val="1"/>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AA53-4420-A299-758641571787}"/>
                </c:ext>
              </c:extLst>
            </c:dLbl>
            <c:dLbl>
              <c:idx val="1"/>
              <c:layout>
                <c:manualLayout>
                  <c:x val="-0.11738148984198647"/>
                  <c:y val="9.7222222222222224E-2"/>
                </c:manualLayout>
              </c:layout>
              <c:showLegendKey val="0"/>
              <c:showVal val="1"/>
              <c:showCatName val="1"/>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AA53-4420-A299-758641571787}"/>
                </c:ext>
              </c:extLst>
            </c:dLbl>
            <c:dLbl>
              <c:idx val="2"/>
              <c:layout>
                <c:manualLayout>
                  <c:x val="-0.13544018058690749"/>
                  <c:y val="-5.5555555555555552E-2"/>
                </c:manualLayout>
              </c:layout>
              <c:showLegendKey val="0"/>
              <c:showVal val="1"/>
              <c:showCatName val="1"/>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AA53-4420-A299-758641571787}"/>
                </c:ext>
              </c:extLst>
            </c:dLbl>
            <c:dLbl>
              <c:idx val="3"/>
              <c:layout>
                <c:manualLayout>
                  <c:x val="-9.9322799097065456E-2"/>
                  <c:y val="-8.3333333333333329E-2"/>
                </c:manualLayout>
              </c:layout>
              <c:showLegendKey val="0"/>
              <c:showVal val="1"/>
              <c:showCatName val="1"/>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AA53-4420-A299-758641571787}"/>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1"/>
            <c:showSerName val="0"/>
            <c:showPercent val="0"/>
            <c:showBubbleSize val="0"/>
            <c:showLeaderLines val="1"/>
            <c:leaderLines>
              <c:spPr>
                <a:ln w="9525">
                  <a:solidFill>
                    <a:schemeClr val="tx1">
                      <a:lumMod val="35000"/>
                      <a:lumOff val="65000"/>
                    </a:schemeClr>
                  </a:solidFill>
                </a:ln>
                <a:effectLst/>
              </c:spPr>
            </c:leaderLines>
            <c:extLst xmlns:c16r2="http://schemas.microsoft.com/office/drawing/2015/06/chart">
              <c:ext xmlns:c15="http://schemas.microsoft.com/office/drawing/2012/chart" uri="{CE6537A1-D6FC-4f65-9D91-7224C49458BB}"/>
            </c:extLst>
          </c:dLbls>
          <c:cat>
            <c:strRef>
              <c:f>('Expo Arg Citricos a sem 32'!$C$9,'Expo Arg Citricos a sem 32'!$D$9,'Expo Arg Citricos a sem 32'!$E$9,'Expo Arg Citricos a sem 32'!$F$9)</c:f>
              <c:strCache>
                <c:ptCount val="4"/>
                <c:pt idx="0">
                  <c:v>Limon</c:v>
                </c:pt>
                <c:pt idx="1">
                  <c:v>Pomelo</c:v>
                </c:pt>
                <c:pt idx="2">
                  <c:v>Mandarina</c:v>
                </c:pt>
                <c:pt idx="3">
                  <c:v>Naranja</c:v>
                </c:pt>
              </c:strCache>
            </c:strRef>
          </c:cat>
          <c:val>
            <c:numRef>
              <c:f>('Expo Arg Citricos a sem 32'!$C$18,'Expo Arg Citricos a sem 32'!$D$18,'Expo Arg Citricos a sem 32'!$E$18,'Expo Arg Citricos a sem 32'!$F$18)</c:f>
              <c:numCache>
                <c:formatCode>#,##0.00</c:formatCode>
                <c:ptCount val="4"/>
                <c:pt idx="0">
                  <c:v>216148.99816199724</c:v>
                </c:pt>
                <c:pt idx="1">
                  <c:v>401.97500000000002</c:v>
                </c:pt>
                <c:pt idx="2">
                  <c:v>31856.534389999928</c:v>
                </c:pt>
                <c:pt idx="3">
                  <c:v>36021.365500000036</c:v>
                </c:pt>
              </c:numCache>
            </c:numRef>
          </c:val>
          <c:extLst xmlns:c16r2="http://schemas.microsoft.com/office/drawing/2015/06/chart">
            <c:ext xmlns:c16="http://schemas.microsoft.com/office/drawing/2014/chart" uri="{C3380CC4-5D6E-409C-BE32-E72D297353CC}">
              <c16:uniqueId val="{00000008-AA53-4420-A299-758641571787}"/>
            </c:ext>
          </c:extLst>
        </c:ser>
        <c:dLbls>
          <c:showLegendKey val="0"/>
          <c:showVal val="0"/>
          <c:showCatName val="1"/>
          <c:showSerName val="0"/>
          <c:showPercent val="1"/>
          <c:showBubbleSize val="0"/>
          <c:showLeaderLines val="1"/>
        </c:dLbls>
        <c:firstSliceAng val="0"/>
        <c:holeSize val="70"/>
      </c:doughnut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r>
              <a:rPr lang="es-ES" sz="1200">
                <a:solidFill>
                  <a:schemeClr val="tx1"/>
                </a:solidFill>
              </a:rPr>
              <a:t>destino export.</a:t>
            </a:r>
            <a:r>
              <a:rPr lang="es-ES" sz="1200" baseline="0">
                <a:solidFill>
                  <a:schemeClr val="tx1"/>
                </a:solidFill>
              </a:rPr>
              <a:t> argentina limones sem 32</a:t>
            </a:r>
            <a:endParaRPr lang="es-ES" sz="1200">
              <a:solidFill>
                <a:schemeClr val="tx1"/>
              </a:solidFill>
            </a:endParaRPr>
          </a:p>
        </c:rich>
      </c:tx>
      <c:layout>
        <c:manualLayout>
          <c:xMode val="edge"/>
          <c:yMode val="edge"/>
          <c:x val="0.1620017291884428"/>
          <c:y val="2.2980733881593728E-2"/>
        </c:manualLayout>
      </c:layout>
      <c:overlay val="0"/>
      <c:spPr>
        <a:noFill/>
        <a:ln>
          <a:noFill/>
        </a:ln>
        <a:effectLst/>
      </c:spPr>
    </c:title>
    <c:autoTitleDeleted val="0"/>
    <c:plotArea>
      <c:layout>
        <c:manualLayout>
          <c:layoutTarget val="inner"/>
          <c:xMode val="edge"/>
          <c:yMode val="edge"/>
          <c:x val="0.26582152829684863"/>
          <c:y val="0.18572202781754504"/>
          <c:w val="0.4683567448772048"/>
          <c:h val="0.71147809245432725"/>
        </c:manualLayout>
      </c:layout>
      <c:doughnutChart>
        <c:varyColors val="1"/>
        <c:ser>
          <c:idx val="0"/>
          <c:order val="0"/>
          <c:dPt>
            <c:idx val="0"/>
            <c:bubble3D val="0"/>
            <c:spPr>
              <a:pattFill prst="ltUpDiag">
                <a:fgClr>
                  <a:schemeClr val="accent1"/>
                </a:fgClr>
                <a:bgClr>
                  <a:schemeClr val="accent1">
                    <a:lumMod val="20000"/>
                    <a:lumOff val="80000"/>
                  </a:schemeClr>
                </a:bgClr>
              </a:pattFill>
              <a:ln w="19050">
                <a:solidFill>
                  <a:schemeClr val="lt1"/>
                </a:solidFill>
              </a:ln>
              <a:effectLst>
                <a:innerShdw blurRad="114300">
                  <a:schemeClr val="accent1"/>
                </a:innerShdw>
              </a:effectLst>
            </c:spPr>
            <c:extLst xmlns:c16r2="http://schemas.microsoft.com/office/drawing/2015/06/chart">
              <c:ext xmlns:c16="http://schemas.microsoft.com/office/drawing/2014/chart" uri="{C3380CC4-5D6E-409C-BE32-E72D297353CC}">
                <c16:uniqueId val="{00000001-EF5B-4E25-AE62-5144280463DF}"/>
              </c:ext>
            </c:extLst>
          </c:dPt>
          <c:dPt>
            <c:idx val="1"/>
            <c:bubble3D val="0"/>
            <c:spPr>
              <a:pattFill prst="ltUpDiag">
                <a:fgClr>
                  <a:schemeClr val="accent2"/>
                </a:fgClr>
                <a:bgClr>
                  <a:schemeClr val="accent2">
                    <a:lumMod val="20000"/>
                    <a:lumOff val="80000"/>
                  </a:schemeClr>
                </a:bgClr>
              </a:pattFill>
              <a:ln w="19050">
                <a:solidFill>
                  <a:schemeClr val="lt1"/>
                </a:solidFill>
              </a:ln>
              <a:effectLst>
                <a:innerShdw blurRad="114300">
                  <a:schemeClr val="accent2"/>
                </a:innerShdw>
              </a:effectLst>
            </c:spPr>
            <c:extLst xmlns:c16r2="http://schemas.microsoft.com/office/drawing/2015/06/chart">
              <c:ext xmlns:c16="http://schemas.microsoft.com/office/drawing/2014/chart" uri="{C3380CC4-5D6E-409C-BE32-E72D297353CC}">
                <c16:uniqueId val="{00000003-EF5B-4E25-AE62-5144280463DF}"/>
              </c:ext>
            </c:extLst>
          </c:dPt>
          <c:dPt>
            <c:idx val="2"/>
            <c:bubble3D val="0"/>
            <c:spPr>
              <a:pattFill prst="ltUpDiag">
                <a:fgClr>
                  <a:schemeClr val="accent3"/>
                </a:fgClr>
                <a:bgClr>
                  <a:schemeClr val="accent3">
                    <a:lumMod val="20000"/>
                    <a:lumOff val="80000"/>
                  </a:schemeClr>
                </a:bgClr>
              </a:pattFill>
              <a:ln w="19050">
                <a:solidFill>
                  <a:schemeClr val="lt1"/>
                </a:solidFill>
              </a:ln>
              <a:effectLst>
                <a:innerShdw blurRad="114300">
                  <a:schemeClr val="accent3"/>
                </a:innerShdw>
              </a:effectLst>
            </c:spPr>
            <c:extLst xmlns:c16r2="http://schemas.microsoft.com/office/drawing/2015/06/chart">
              <c:ext xmlns:c16="http://schemas.microsoft.com/office/drawing/2014/chart" uri="{C3380CC4-5D6E-409C-BE32-E72D297353CC}">
                <c16:uniqueId val="{00000005-EF5B-4E25-AE62-5144280463DF}"/>
              </c:ext>
            </c:extLst>
          </c:dPt>
          <c:dPt>
            <c:idx val="3"/>
            <c:bubble3D val="0"/>
            <c:spPr>
              <a:pattFill prst="ltUpDiag">
                <a:fgClr>
                  <a:schemeClr val="accent4"/>
                </a:fgClr>
                <a:bgClr>
                  <a:schemeClr val="accent4">
                    <a:lumMod val="20000"/>
                    <a:lumOff val="80000"/>
                  </a:schemeClr>
                </a:bgClr>
              </a:pattFill>
              <a:ln w="19050">
                <a:solidFill>
                  <a:schemeClr val="lt1"/>
                </a:solidFill>
              </a:ln>
              <a:effectLst>
                <a:innerShdw blurRad="114300">
                  <a:schemeClr val="accent4"/>
                </a:innerShdw>
              </a:effectLst>
            </c:spPr>
            <c:extLst xmlns:c16r2="http://schemas.microsoft.com/office/drawing/2015/06/chart">
              <c:ext xmlns:c16="http://schemas.microsoft.com/office/drawing/2014/chart" uri="{C3380CC4-5D6E-409C-BE32-E72D297353CC}">
                <c16:uniqueId val="{00000007-EF5B-4E25-AE62-5144280463DF}"/>
              </c:ext>
            </c:extLst>
          </c:dPt>
          <c:dPt>
            <c:idx val="4"/>
            <c:bubble3D val="0"/>
            <c:spPr>
              <a:pattFill prst="ltUpDiag">
                <a:fgClr>
                  <a:schemeClr val="accent5"/>
                </a:fgClr>
                <a:bgClr>
                  <a:schemeClr val="accent5">
                    <a:lumMod val="20000"/>
                    <a:lumOff val="80000"/>
                  </a:schemeClr>
                </a:bgClr>
              </a:pattFill>
              <a:ln w="19050">
                <a:solidFill>
                  <a:schemeClr val="lt1"/>
                </a:solidFill>
              </a:ln>
              <a:effectLst>
                <a:innerShdw blurRad="114300">
                  <a:schemeClr val="accent5"/>
                </a:innerShdw>
              </a:effectLst>
            </c:spPr>
            <c:extLst xmlns:c16r2="http://schemas.microsoft.com/office/drawing/2015/06/chart">
              <c:ext xmlns:c16="http://schemas.microsoft.com/office/drawing/2014/chart" uri="{C3380CC4-5D6E-409C-BE32-E72D297353CC}">
                <c16:uniqueId val="{00000009-EF5B-4E25-AE62-5144280463DF}"/>
              </c:ext>
            </c:extLst>
          </c:dPt>
          <c:dPt>
            <c:idx val="5"/>
            <c:bubble3D val="0"/>
            <c:spPr>
              <a:pattFill prst="ltUpDiag">
                <a:fgClr>
                  <a:schemeClr val="accent6"/>
                </a:fgClr>
                <a:bgClr>
                  <a:schemeClr val="accent6">
                    <a:lumMod val="20000"/>
                    <a:lumOff val="80000"/>
                  </a:schemeClr>
                </a:bgClr>
              </a:pattFill>
              <a:ln w="19050">
                <a:solidFill>
                  <a:schemeClr val="lt1"/>
                </a:solidFill>
              </a:ln>
              <a:effectLst>
                <a:innerShdw blurRad="114300">
                  <a:schemeClr val="accent6"/>
                </a:innerShdw>
              </a:effectLst>
            </c:spPr>
            <c:extLst xmlns:c16r2="http://schemas.microsoft.com/office/drawing/2015/06/chart">
              <c:ext xmlns:c16="http://schemas.microsoft.com/office/drawing/2014/chart" uri="{C3380CC4-5D6E-409C-BE32-E72D297353CC}">
                <c16:uniqueId val="{0000000B-EF5B-4E25-AE62-5144280463DF}"/>
              </c:ext>
            </c:extLst>
          </c:dPt>
          <c:dPt>
            <c:idx val="6"/>
            <c:bubble3D val="0"/>
            <c:spPr>
              <a:pattFill prst="ltUpDiag">
                <a:fgClr>
                  <a:schemeClr val="accent1">
                    <a:lumMod val="60000"/>
                  </a:schemeClr>
                </a:fgClr>
                <a:bgClr>
                  <a:schemeClr val="accent1">
                    <a:lumMod val="60000"/>
                    <a:lumMod val="20000"/>
                    <a:lumOff val="80000"/>
                  </a:schemeClr>
                </a:bgClr>
              </a:pattFill>
              <a:ln w="19050">
                <a:solidFill>
                  <a:schemeClr val="lt1"/>
                </a:solidFill>
              </a:ln>
              <a:effectLst>
                <a:innerShdw blurRad="114300">
                  <a:schemeClr val="accent1">
                    <a:lumMod val="60000"/>
                  </a:schemeClr>
                </a:innerShdw>
              </a:effectLst>
            </c:spPr>
            <c:extLst xmlns:c16r2="http://schemas.microsoft.com/office/drawing/2015/06/chart">
              <c:ext xmlns:c16="http://schemas.microsoft.com/office/drawing/2014/chart" uri="{C3380CC4-5D6E-409C-BE32-E72D297353CC}">
                <c16:uniqueId val="{0000000D-EF5B-4E25-AE62-5144280463DF}"/>
              </c:ext>
            </c:extLst>
          </c:dPt>
          <c:dPt>
            <c:idx val="7"/>
            <c:bubble3D val="0"/>
            <c:spPr>
              <a:pattFill prst="ltUpDiag">
                <a:fgClr>
                  <a:schemeClr val="accent2">
                    <a:lumMod val="60000"/>
                  </a:schemeClr>
                </a:fgClr>
                <a:bgClr>
                  <a:schemeClr val="accent2">
                    <a:lumMod val="60000"/>
                    <a:lumMod val="20000"/>
                    <a:lumOff val="80000"/>
                  </a:schemeClr>
                </a:bgClr>
              </a:pattFill>
              <a:ln w="19050">
                <a:solidFill>
                  <a:schemeClr val="lt1"/>
                </a:solidFill>
              </a:ln>
              <a:effectLst>
                <a:innerShdw blurRad="114300">
                  <a:schemeClr val="accent2">
                    <a:lumMod val="60000"/>
                  </a:schemeClr>
                </a:innerShdw>
              </a:effectLst>
            </c:spPr>
            <c:extLst xmlns:c16r2="http://schemas.microsoft.com/office/drawing/2015/06/chart">
              <c:ext xmlns:c16="http://schemas.microsoft.com/office/drawing/2014/chart" uri="{C3380CC4-5D6E-409C-BE32-E72D297353CC}">
                <c16:uniqueId val="{0000000F-EF5B-4E25-AE62-5144280463DF}"/>
              </c:ext>
            </c:extLst>
          </c:dPt>
          <c:dPt>
            <c:idx val="8"/>
            <c:bubble3D val="0"/>
            <c:spPr>
              <a:pattFill prst="ltUpDiag">
                <a:fgClr>
                  <a:schemeClr val="accent3">
                    <a:lumMod val="60000"/>
                  </a:schemeClr>
                </a:fgClr>
                <a:bgClr>
                  <a:schemeClr val="accent3">
                    <a:lumMod val="60000"/>
                    <a:lumMod val="20000"/>
                    <a:lumOff val="80000"/>
                  </a:schemeClr>
                </a:bgClr>
              </a:pattFill>
              <a:ln w="19050">
                <a:solidFill>
                  <a:schemeClr val="lt1"/>
                </a:solidFill>
              </a:ln>
              <a:effectLst>
                <a:innerShdw blurRad="114300">
                  <a:schemeClr val="accent3">
                    <a:lumMod val="60000"/>
                  </a:schemeClr>
                </a:innerShdw>
              </a:effectLst>
            </c:spPr>
            <c:extLst xmlns:c16r2="http://schemas.microsoft.com/office/drawing/2015/06/chart">
              <c:ext xmlns:c16="http://schemas.microsoft.com/office/drawing/2014/chart" uri="{C3380CC4-5D6E-409C-BE32-E72D297353CC}">
                <c16:uniqueId val="{00000011-EF5B-4E25-AE62-5144280463DF}"/>
              </c:ext>
            </c:extLst>
          </c:dPt>
          <c:dLbls>
            <c:dLbl>
              <c:idx val="0"/>
              <c:layout>
                <c:manualLayout>
                  <c:x val="2.0218735535633338E-2"/>
                  <c:y val="-0.10327486877326593"/>
                </c:manualLayout>
              </c:layout>
              <c:showLegendKey val="0"/>
              <c:showVal val="0"/>
              <c:showCatName val="1"/>
              <c:showSerName val="0"/>
              <c:showPercent val="1"/>
              <c:showBubbleSize val="0"/>
              <c:extLst xmlns:c16r2="http://schemas.microsoft.com/office/drawing/2015/06/chart">
                <c:ext xmlns:c15="http://schemas.microsoft.com/office/drawing/2012/chart" uri="{CE6537A1-D6FC-4f65-9D91-7224C49458BB}">
                  <c15:layout>
                    <c:manualLayout>
                      <c:w val="0.25396001028380727"/>
                      <c:h val="0.17982424262347088"/>
                    </c:manualLayout>
                  </c15:layout>
                </c:ext>
                <c:ext xmlns:c16="http://schemas.microsoft.com/office/drawing/2014/chart" uri="{C3380CC4-5D6E-409C-BE32-E72D297353CC}">
                  <c16:uniqueId val="{00000001-EF5B-4E25-AE62-5144280463DF}"/>
                </c:ext>
              </c:extLst>
            </c:dLbl>
            <c:dLbl>
              <c:idx val="1"/>
              <c:layout>
                <c:manualLayout>
                  <c:x val="0.12102333808810523"/>
                  <c:y val="-8.8092813212775956E-2"/>
                </c:manualLayout>
              </c:layout>
              <c:showLegendKey val="0"/>
              <c:showVal val="0"/>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EF5B-4E25-AE62-5144280463DF}"/>
                </c:ext>
              </c:extLst>
            </c:dLbl>
            <c:dLbl>
              <c:idx val="2"/>
              <c:layout>
                <c:manualLayout>
                  <c:x val="0.1285872967186118"/>
                  <c:y val="-3.510904895859421E-17"/>
                </c:manualLayout>
              </c:layout>
              <c:showLegendKey val="0"/>
              <c:showVal val="0"/>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EF5B-4E25-AE62-5144280463DF}"/>
                </c:ext>
              </c:extLst>
            </c:dLbl>
            <c:dLbl>
              <c:idx val="3"/>
              <c:layout>
                <c:manualLayout>
                  <c:x val="0.1311086162621139"/>
                  <c:y val="0"/>
                </c:manualLayout>
              </c:layout>
              <c:showLegendKey val="0"/>
              <c:showVal val="0"/>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EF5B-4E25-AE62-5144280463DF}"/>
                </c:ext>
              </c:extLst>
            </c:dLbl>
            <c:dLbl>
              <c:idx val="4"/>
              <c:layout>
                <c:manualLayout>
                  <c:x val="0.10589542082709198"/>
                  <c:y val="0"/>
                </c:manualLayout>
              </c:layout>
              <c:showLegendKey val="0"/>
              <c:showVal val="0"/>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9-EF5B-4E25-AE62-5144280463DF}"/>
                </c:ext>
              </c:extLst>
            </c:dLbl>
            <c:dLbl>
              <c:idx val="5"/>
              <c:layout>
                <c:manualLayout>
                  <c:x val="0.1651464300993935"/>
                  <c:y val="8.2347931326811674E-2"/>
                </c:manualLayout>
              </c:layout>
              <c:spPr>
                <a:noFill/>
                <a:ln>
                  <a:noFill/>
                </a:ln>
                <a:effectLst/>
              </c:spPr>
              <c:txPr>
                <a:bodyPr rot="0" spcFirstLastPara="1" vertOverflow="ellipsis" vert="horz" wrap="square" lIns="38100" tIns="19050" rIns="38100" bIns="19050" anchor="ctr" anchorCtr="1">
                  <a:noAutofit/>
                </a:bodyPr>
                <a:lstStyle/>
                <a:p>
                  <a:pPr>
                    <a:defRPr sz="1200" b="0" i="0" u="none" strike="noStrike" kern="1200" baseline="0">
                      <a:solidFill>
                        <a:schemeClr val="tx1">
                          <a:lumMod val="75000"/>
                          <a:lumOff val="25000"/>
                        </a:schemeClr>
                      </a:solidFill>
                      <a:latin typeface="+mn-lt"/>
                      <a:ea typeface="+mn-ea"/>
                      <a:cs typeface="+mn-cs"/>
                    </a:defRPr>
                  </a:pPr>
                  <a:endParaRPr lang="es-ES"/>
                </a:p>
              </c:txPr>
              <c:showLegendKey val="0"/>
              <c:showVal val="0"/>
              <c:showCatName val="1"/>
              <c:showSerName val="0"/>
              <c:showPercent val="1"/>
              <c:showBubbleSize val="0"/>
              <c:extLst xmlns:c16r2="http://schemas.microsoft.com/office/drawing/2015/06/chart">
                <c:ext xmlns:c15="http://schemas.microsoft.com/office/drawing/2012/chart" uri="{CE6537A1-D6FC-4f65-9D91-7224C49458BB}">
                  <c15:layout>
                    <c:manualLayout>
                      <c:w val="0.22196426674766653"/>
                      <c:h val="0.13769289717388244"/>
                    </c:manualLayout>
                  </c15:layout>
                </c:ext>
                <c:ext xmlns:c16="http://schemas.microsoft.com/office/drawing/2014/chart" uri="{C3380CC4-5D6E-409C-BE32-E72D297353CC}">
                  <c16:uniqueId val="{0000000B-EF5B-4E25-AE62-5144280463DF}"/>
                </c:ext>
              </c:extLst>
            </c:dLbl>
            <c:dLbl>
              <c:idx val="6"/>
              <c:layout>
                <c:manualLayout>
                  <c:x val="-0.11345937945759865"/>
                  <c:y val="8.4262690899177012E-2"/>
                </c:manualLayout>
              </c:layout>
              <c:showLegendKey val="0"/>
              <c:showVal val="0"/>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D-EF5B-4E25-AE62-5144280463DF}"/>
                </c:ext>
              </c:extLst>
            </c:dLbl>
            <c:dLbl>
              <c:idx val="7"/>
              <c:layout>
                <c:manualLayout>
                  <c:x val="-0.11345937945759865"/>
                  <c:y val="1.532048925439582E-2"/>
                </c:manualLayout>
              </c:layout>
              <c:showLegendKey val="0"/>
              <c:showVal val="0"/>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F-EF5B-4E25-AE62-5144280463DF}"/>
                </c:ext>
              </c:extLst>
            </c:dLbl>
            <c:dLbl>
              <c:idx val="8"/>
              <c:layout>
                <c:manualLayout>
                  <c:x val="-0.1764923680451535"/>
                  <c:y val="-4.2131345449588506E-2"/>
                </c:manualLayout>
              </c:layout>
              <c:showLegendKey val="0"/>
              <c:showVal val="0"/>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1-EF5B-4E25-AE62-5144280463DF}"/>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ES"/>
              </a:p>
            </c:txPr>
            <c:showLegendKey val="0"/>
            <c:showVal val="0"/>
            <c:showCatName val="1"/>
            <c:showSerName val="0"/>
            <c:showPercent val="1"/>
            <c:showBubbleSize val="0"/>
            <c:showLeaderLines val="1"/>
            <c:leaderLines>
              <c:spPr>
                <a:ln w="9525">
                  <a:solidFill>
                    <a:schemeClr val="tx1">
                      <a:lumMod val="35000"/>
                      <a:lumOff val="65000"/>
                    </a:schemeClr>
                  </a:solidFill>
                </a:ln>
                <a:effectLst/>
              </c:spPr>
            </c:leaderLines>
            <c:extLst xmlns:c16r2="http://schemas.microsoft.com/office/drawing/2015/06/chart">
              <c:ext xmlns:c15="http://schemas.microsoft.com/office/drawing/2012/chart" uri="{CE6537A1-D6FC-4f65-9D91-7224C49458BB}"/>
            </c:extLst>
          </c:dLbls>
          <c:cat>
            <c:strRef>
              <c:f>('Expo Limon Mercados acum sem 32'!$B$8,'Expo Limon Mercados acum sem 32'!$B$9,'Expo Limon Mercados acum sem 32'!$B$10,'Expo Limon Mercados acum sem 32'!$B$11,'Expo Limon Mercados acum sem 32'!$B$13,'Expo Limon Mercados acum sem 32'!$B$14,'Expo Limon Mercados acum sem 32'!$B$15,'Expo Limon Mercados acum sem 32'!$B$16,'Expo Limon Mercados acum sem 32'!$B$17)</c:f>
              <c:strCache>
                <c:ptCount val="9"/>
                <c:pt idx="0">
                  <c:v>Grecia y Balcanes</c:v>
                </c:pt>
                <c:pt idx="1">
                  <c:v>Iberica</c:v>
                </c:pt>
                <c:pt idx="2">
                  <c:v>Italia</c:v>
                </c:pt>
                <c:pt idx="3">
                  <c:v>Norte Europa</c:v>
                </c:pt>
                <c:pt idx="4">
                  <c:v>Rusia</c:v>
                </c:pt>
                <c:pt idx="5">
                  <c:v>Odessa-Ucrania</c:v>
                </c:pt>
                <c:pt idx="6">
                  <c:v>Reino Unido</c:v>
                </c:pt>
                <c:pt idx="7">
                  <c:v>USA</c:v>
                </c:pt>
                <c:pt idx="8">
                  <c:v>Otros Destinos</c:v>
                </c:pt>
              </c:strCache>
            </c:strRef>
          </c:cat>
          <c:val>
            <c:numRef>
              <c:f>('Expo Limon Mercados acum sem 32'!$C$8,'Expo Limon Mercados acum sem 32'!$C$9,'Expo Limon Mercados acum sem 32'!$C$10,'Expo Limon Mercados acum sem 32'!$C$11,'Expo Limon Mercados acum sem 32'!$C$13,'Expo Limon Mercados acum sem 32'!$C$14,'Expo Limon Mercados acum sem 32'!$C$15,'Expo Limon Mercados acum sem 32'!$C$16,'Expo Limon Mercados acum sem 32'!$C$17)</c:f>
              <c:numCache>
                <c:formatCode>#,##0.00</c:formatCode>
                <c:ptCount val="9"/>
                <c:pt idx="0">
                  <c:v>17016.58300000001</c:v>
                </c:pt>
                <c:pt idx="1">
                  <c:v>7001.8860000000068</c:v>
                </c:pt>
                <c:pt idx="2">
                  <c:v>14511.291999999989</c:v>
                </c:pt>
                <c:pt idx="3">
                  <c:v>37906.323271999783</c:v>
                </c:pt>
                <c:pt idx="4">
                  <c:v>29775.057099999882</c:v>
                </c:pt>
                <c:pt idx="5">
                  <c:v>6689.8339999999798</c:v>
                </c:pt>
                <c:pt idx="6">
                  <c:v>4142.9739999999983</c:v>
                </c:pt>
                <c:pt idx="7">
                  <c:v>61672.90764800099</c:v>
                </c:pt>
                <c:pt idx="8">
                  <c:v>21769.56550000007</c:v>
                </c:pt>
              </c:numCache>
            </c:numRef>
          </c:val>
          <c:extLst xmlns:c16r2="http://schemas.microsoft.com/office/drawing/2015/06/chart">
            <c:ext xmlns:c16="http://schemas.microsoft.com/office/drawing/2014/chart" uri="{C3380CC4-5D6E-409C-BE32-E72D297353CC}">
              <c16:uniqueId val="{00000012-EF5B-4E25-AE62-5144280463DF}"/>
            </c:ext>
          </c:extLst>
        </c:ser>
        <c:ser>
          <c:idx val="1"/>
          <c:order val="1"/>
          <c:dPt>
            <c:idx val="0"/>
            <c:bubble3D val="0"/>
            <c:spPr>
              <a:pattFill prst="ltUpDiag">
                <a:fgClr>
                  <a:schemeClr val="accent1"/>
                </a:fgClr>
                <a:bgClr>
                  <a:schemeClr val="accent1">
                    <a:lumMod val="20000"/>
                    <a:lumOff val="80000"/>
                  </a:schemeClr>
                </a:bgClr>
              </a:pattFill>
              <a:ln w="19050">
                <a:solidFill>
                  <a:schemeClr val="lt1"/>
                </a:solidFill>
              </a:ln>
              <a:effectLst>
                <a:innerShdw blurRad="114300">
                  <a:schemeClr val="accent1"/>
                </a:innerShdw>
              </a:effectLst>
            </c:spPr>
            <c:extLst xmlns:c16r2="http://schemas.microsoft.com/office/drawing/2015/06/chart">
              <c:ext xmlns:c16="http://schemas.microsoft.com/office/drawing/2014/chart" uri="{C3380CC4-5D6E-409C-BE32-E72D297353CC}">
                <c16:uniqueId val="{00000013-C1AA-40EF-B6B1-10AFEDBDD6C7}"/>
              </c:ext>
            </c:extLst>
          </c:dPt>
          <c:dPt>
            <c:idx val="1"/>
            <c:bubble3D val="0"/>
            <c:spPr>
              <a:pattFill prst="ltUpDiag">
                <a:fgClr>
                  <a:schemeClr val="accent2"/>
                </a:fgClr>
                <a:bgClr>
                  <a:schemeClr val="accent2">
                    <a:lumMod val="20000"/>
                    <a:lumOff val="80000"/>
                  </a:schemeClr>
                </a:bgClr>
              </a:pattFill>
              <a:ln w="19050">
                <a:solidFill>
                  <a:schemeClr val="lt1"/>
                </a:solidFill>
              </a:ln>
              <a:effectLst>
                <a:innerShdw blurRad="114300">
                  <a:schemeClr val="accent2"/>
                </a:innerShdw>
              </a:effectLst>
            </c:spPr>
            <c:extLst xmlns:c16r2="http://schemas.microsoft.com/office/drawing/2015/06/chart">
              <c:ext xmlns:c16="http://schemas.microsoft.com/office/drawing/2014/chart" uri="{C3380CC4-5D6E-409C-BE32-E72D297353CC}">
                <c16:uniqueId val="{00000015-C1AA-40EF-B6B1-10AFEDBDD6C7}"/>
              </c:ext>
            </c:extLst>
          </c:dPt>
          <c:dPt>
            <c:idx val="2"/>
            <c:bubble3D val="0"/>
            <c:spPr>
              <a:pattFill prst="ltUpDiag">
                <a:fgClr>
                  <a:schemeClr val="accent3"/>
                </a:fgClr>
                <a:bgClr>
                  <a:schemeClr val="accent3">
                    <a:lumMod val="20000"/>
                    <a:lumOff val="80000"/>
                  </a:schemeClr>
                </a:bgClr>
              </a:pattFill>
              <a:ln w="19050">
                <a:solidFill>
                  <a:schemeClr val="lt1"/>
                </a:solidFill>
              </a:ln>
              <a:effectLst>
                <a:innerShdw blurRad="114300">
                  <a:schemeClr val="accent3"/>
                </a:innerShdw>
              </a:effectLst>
            </c:spPr>
            <c:extLst xmlns:c16r2="http://schemas.microsoft.com/office/drawing/2015/06/chart">
              <c:ext xmlns:c16="http://schemas.microsoft.com/office/drawing/2014/chart" uri="{C3380CC4-5D6E-409C-BE32-E72D297353CC}">
                <c16:uniqueId val="{00000017-C1AA-40EF-B6B1-10AFEDBDD6C7}"/>
              </c:ext>
            </c:extLst>
          </c:dPt>
          <c:dPt>
            <c:idx val="3"/>
            <c:bubble3D val="0"/>
            <c:spPr>
              <a:pattFill prst="ltUpDiag">
                <a:fgClr>
                  <a:schemeClr val="accent4"/>
                </a:fgClr>
                <a:bgClr>
                  <a:schemeClr val="accent4">
                    <a:lumMod val="20000"/>
                    <a:lumOff val="80000"/>
                  </a:schemeClr>
                </a:bgClr>
              </a:pattFill>
              <a:ln w="19050">
                <a:solidFill>
                  <a:schemeClr val="lt1"/>
                </a:solidFill>
              </a:ln>
              <a:effectLst>
                <a:innerShdw blurRad="114300">
                  <a:schemeClr val="accent4"/>
                </a:innerShdw>
              </a:effectLst>
            </c:spPr>
            <c:extLst xmlns:c16r2="http://schemas.microsoft.com/office/drawing/2015/06/chart">
              <c:ext xmlns:c16="http://schemas.microsoft.com/office/drawing/2014/chart" uri="{C3380CC4-5D6E-409C-BE32-E72D297353CC}">
                <c16:uniqueId val="{00000019-C1AA-40EF-B6B1-10AFEDBDD6C7}"/>
              </c:ext>
            </c:extLst>
          </c:dPt>
          <c:dLbls>
            <c:dLbl>
              <c:idx val="0"/>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3-C1AA-40EF-B6B1-10AFEDBDD6C7}"/>
                </c:ext>
              </c:extLst>
            </c:dLbl>
            <c:dLbl>
              <c:idx val="1"/>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5-C1AA-40EF-B6B1-10AFEDBDD6C7}"/>
                </c:ext>
              </c:extLst>
            </c:dLbl>
            <c:dLbl>
              <c:idx val="2"/>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7-C1AA-40EF-B6B1-10AFEDBDD6C7}"/>
                </c:ext>
              </c:extLst>
            </c:dLbl>
            <c:dLbl>
              <c:idx val="3"/>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9-C1AA-40EF-B6B1-10AFEDBDD6C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0"/>
            <c:showCatName val="1"/>
            <c:showSerName val="0"/>
            <c:showPercent val="1"/>
            <c:showBubbleSize val="0"/>
            <c:showLeaderLines val="1"/>
            <c:leaderLines>
              <c:spPr>
                <a:ln w="9525">
                  <a:solidFill>
                    <a:schemeClr val="tx1">
                      <a:lumMod val="35000"/>
                      <a:lumOff val="65000"/>
                    </a:schemeClr>
                  </a:solidFill>
                </a:ln>
                <a:effectLst/>
              </c:spPr>
            </c:leaderLines>
            <c:extLst xmlns:c16r2="http://schemas.microsoft.com/office/drawing/2015/06/chart">
              <c:ext xmlns:c15="http://schemas.microsoft.com/office/drawing/2012/chart" uri="{CE6537A1-D6FC-4f65-9D91-7224C49458BB}"/>
            </c:extLst>
          </c:dLbls>
          <c:cat>
            <c:strRef>
              <c:f>('Expo Limon Mercados acum sem 32'!$B$8,'Expo Limon Mercados acum sem 32'!$B$9,'Expo Limon Mercados acum sem 32'!$B$10,'Expo Limon Mercados acum sem 32'!$B$11,'Expo Limon Mercados acum sem 32'!$B$13,'Expo Limon Mercados acum sem 32'!$B$14,'Expo Limon Mercados acum sem 32'!$B$15,'Expo Limon Mercados acum sem 32'!$B$16,'Expo Limon Mercados acum sem 32'!$B$17)</c:f>
              <c:strCache>
                <c:ptCount val="9"/>
                <c:pt idx="0">
                  <c:v>Grecia y Balcanes</c:v>
                </c:pt>
                <c:pt idx="1">
                  <c:v>Iberica</c:v>
                </c:pt>
                <c:pt idx="2">
                  <c:v>Italia</c:v>
                </c:pt>
                <c:pt idx="3">
                  <c:v>Norte Europa</c:v>
                </c:pt>
                <c:pt idx="4">
                  <c:v>Rusia</c:v>
                </c:pt>
                <c:pt idx="5">
                  <c:v>Odessa-Ucrania</c:v>
                </c:pt>
                <c:pt idx="6">
                  <c:v>Reino Unido</c:v>
                </c:pt>
                <c:pt idx="7">
                  <c:v>USA</c:v>
                </c:pt>
                <c:pt idx="8">
                  <c:v>Otros Destinos</c:v>
                </c:pt>
              </c:strCache>
            </c:strRef>
          </c:cat>
          <c:val>
            <c:numRef>
              <c:f>[1]Sheet1!$B$6:$B$9</c:f>
              <c:numCache>
                <c:formatCode>General</c:formatCode>
                <c:ptCount val="4"/>
                <c:pt idx="0">
                  <c:v>0</c:v>
                </c:pt>
                <c:pt idx="1">
                  <c:v>0</c:v>
                </c:pt>
                <c:pt idx="2">
                  <c:v>0</c:v>
                </c:pt>
                <c:pt idx="3">
                  <c:v>0</c:v>
                </c:pt>
              </c:numCache>
            </c:numRef>
          </c:val>
          <c:extLst xmlns:c16r2="http://schemas.microsoft.com/office/drawing/2015/06/chart">
            <c:ext xmlns:c16="http://schemas.microsoft.com/office/drawing/2014/chart" uri="{C3380CC4-5D6E-409C-BE32-E72D297353CC}">
              <c16:uniqueId val="{00000013-F9E4-4E82-932C-6F57274EBE48}"/>
            </c:ext>
          </c:extLst>
        </c:ser>
        <c:dLbls>
          <c:showLegendKey val="0"/>
          <c:showVal val="0"/>
          <c:showCatName val="1"/>
          <c:showSerName val="0"/>
          <c:showPercent val="1"/>
          <c:showBubbleSize val="0"/>
          <c:showLeaderLines val="1"/>
        </c:dLbls>
        <c:firstSliceAng val="0"/>
        <c:holeSize val="70"/>
      </c:doughnut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AR"/>
              <a:t>Exportaciones de ARGENTINA vs RSA</a:t>
            </a:r>
          </a:p>
        </c:rich>
      </c:tx>
      <c:overlay val="0"/>
      <c:spPr>
        <a:noFill/>
        <a:ln>
          <a:noFill/>
        </a:ln>
        <a:effectLst/>
      </c:spPr>
    </c:title>
    <c:autoTitleDeleted val="0"/>
    <c:plotArea>
      <c:layout/>
      <c:barChart>
        <c:barDir val="bar"/>
        <c:grouping val="clustered"/>
        <c:varyColors val="0"/>
        <c:ser>
          <c:idx val="0"/>
          <c:order val="0"/>
          <c:spPr>
            <a:solidFill>
              <a:schemeClr val="accent1"/>
            </a:solidFill>
            <a:ln>
              <a:noFill/>
            </a:ln>
            <a:effectLst/>
          </c:spPr>
          <c:invertIfNegative val="0"/>
          <c:dPt>
            <c:idx val="1"/>
            <c:invertIfNegative val="0"/>
            <c:bubble3D val="0"/>
            <c:spPr>
              <a:solidFill>
                <a:schemeClr val="accent2">
                  <a:lumMod val="75000"/>
                </a:schemeClr>
              </a:solidFill>
              <a:ln>
                <a:noFill/>
              </a:ln>
              <a:effectLst/>
            </c:spPr>
            <c:extLst xmlns:c16r2="http://schemas.microsoft.com/office/drawing/2015/06/chart">
              <c:ext xmlns:c16="http://schemas.microsoft.com/office/drawing/2014/chart" uri="{C3380CC4-5D6E-409C-BE32-E72D297353CC}">
                <c16:uniqueId val="{00000006-B1E2-4C5F-AF28-93B6997419B8}"/>
              </c:ext>
            </c:extLst>
          </c:dPt>
          <c:dPt>
            <c:idx val="3"/>
            <c:invertIfNegative val="0"/>
            <c:bubble3D val="0"/>
            <c:spPr>
              <a:solidFill>
                <a:schemeClr val="accent2">
                  <a:lumMod val="75000"/>
                </a:schemeClr>
              </a:solidFill>
              <a:ln>
                <a:noFill/>
              </a:ln>
              <a:effectLst/>
            </c:spPr>
            <c:extLst xmlns:c16r2="http://schemas.microsoft.com/office/drawing/2015/06/chart">
              <c:ext xmlns:c16="http://schemas.microsoft.com/office/drawing/2014/chart" uri="{C3380CC4-5D6E-409C-BE32-E72D297353CC}">
                <c16:uniqueId val="{00000005-B1E2-4C5F-AF28-93B6997419B8}"/>
              </c:ext>
            </c:extLst>
          </c:dPt>
          <c:dPt>
            <c:idx val="5"/>
            <c:invertIfNegative val="0"/>
            <c:bubble3D val="0"/>
            <c:spPr>
              <a:solidFill>
                <a:schemeClr val="accent2">
                  <a:lumMod val="75000"/>
                </a:schemeClr>
              </a:solidFill>
              <a:ln>
                <a:noFill/>
              </a:ln>
              <a:effectLst/>
            </c:spPr>
            <c:extLst xmlns:c16r2="http://schemas.microsoft.com/office/drawing/2015/06/chart">
              <c:ext xmlns:c16="http://schemas.microsoft.com/office/drawing/2014/chart" uri="{C3380CC4-5D6E-409C-BE32-E72D297353CC}">
                <c16:uniqueId val="{00000004-B1E2-4C5F-AF28-93B6997419B8}"/>
              </c:ext>
            </c:extLst>
          </c:dPt>
          <c:dPt>
            <c:idx val="7"/>
            <c:invertIfNegative val="0"/>
            <c:bubble3D val="0"/>
            <c:spPr>
              <a:solidFill>
                <a:schemeClr val="accent2">
                  <a:lumMod val="75000"/>
                </a:schemeClr>
              </a:solidFill>
              <a:ln>
                <a:noFill/>
              </a:ln>
              <a:effectLst/>
            </c:spPr>
            <c:extLst xmlns:c16r2="http://schemas.microsoft.com/office/drawing/2015/06/chart">
              <c:ext xmlns:c16="http://schemas.microsoft.com/office/drawing/2014/chart" uri="{C3380CC4-5D6E-409C-BE32-E72D297353CC}">
                <c16:uniqueId val="{00000003-B1E2-4C5F-AF28-93B6997419B8}"/>
              </c:ext>
            </c:extLst>
          </c:dPt>
          <c:dPt>
            <c:idx val="9"/>
            <c:invertIfNegative val="0"/>
            <c:bubble3D val="0"/>
            <c:spPr>
              <a:solidFill>
                <a:schemeClr val="accent2">
                  <a:lumMod val="75000"/>
                </a:schemeClr>
              </a:solidFill>
              <a:ln>
                <a:noFill/>
              </a:ln>
              <a:effectLst/>
            </c:spPr>
            <c:extLst xmlns:c16r2="http://schemas.microsoft.com/office/drawing/2015/06/chart">
              <c:ext xmlns:c16="http://schemas.microsoft.com/office/drawing/2014/chart" uri="{C3380CC4-5D6E-409C-BE32-E72D297353CC}">
                <c16:uniqueId val="{00000002-B1E2-4C5F-AF28-93B6997419B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'Comparativo expo RSA y ARG'!$B$5:$C$14</c:f>
              <c:multiLvlStrCache>
                <c:ptCount val="10"/>
                <c:lvl>
                  <c:pt idx="0">
                    <c:v>Argentina</c:v>
                  </c:pt>
                  <c:pt idx="1">
                    <c:v>RSA</c:v>
                  </c:pt>
                  <c:pt idx="2">
                    <c:v>Argentina</c:v>
                  </c:pt>
                  <c:pt idx="3">
                    <c:v>RSA</c:v>
                  </c:pt>
                  <c:pt idx="4">
                    <c:v>Argentina</c:v>
                  </c:pt>
                  <c:pt idx="5">
                    <c:v>RSA</c:v>
                  </c:pt>
                  <c:pt idx="6">
                    <c:v>Argentina</c:v>
                  </c:pt>
                  <c:pt idx="7">
                    <c:v>RSA</c:v>
                  </c:pt>
                  <c:pt idx="8">
                    <c:v>Argentina</c:v>
                  </c:pt>
                  <c:pt idx="9">
                    <c:v>RSA</c:v>
                  </c:pt>
                </c:lvl>
                <c:lvl>
                  <c:pt idx="0">
                    <c:v>Reino Unido</c:v>
                  </c:pt>
                  <c:pt idx="2">
                    <c:v>Union Europea</c:v>
                  </c:pt>
                  <c:pt idx="4">
                    <c:v>Rusia</c:v>
                  </c:pt>
                  <c:pt idx="6">
                    <c:v>Canadá/USA</c:v>
                  </c:pt>
                  <c:pt idx="8">
                    <c:v>Otros</c:v>
                  </c:pt>
                </c:lvl>
              </c:multiLvlStrCache>
            </c:multiLvlStrRef>
          </c:cat>
          <c:val>
            <c:numRef>
              <c:f>'Comparativo expo RSA y ARG'!$D$5:$D$14</c:f>
              <c:numCache>
                <c:formatCode>#,##0.00</c:formatCode>
                <c:ptCount val="10"/>
                <c:pt idx="0">
                  <c:v>4326.9740000000011</c:v>
                </c:pt>
                <c:pt idx="1">
                  <c:v>27243.435000000001</c:v>
                </c:pt>
                <c:pt idx="2">
                  <c:v>85809.318113999703</c:v>
                </c:pt>
                <c:pt idx="3">
                  <c:v>130508.655</c:v>
                </c:pt>
                <c:pt idx="4">
                  <c:v>30778.869099999858</c:v>
                </c:pt>
                <c:pt idx="5">
                  <c:v>33913.455000000002</c:v>
                </c:pt>
                <c:pt idx="6">
                  <c:v>72464.084248000727</c:v>
                </c:pt>
                <c:pt idx="7">
                  <c:v>17501.939999999999</c:v>
                </c:pt>
                <c:pt idx="8">
                  <c:v>16054.646700000114</c:v>
                </c:pt>
                <c:pt idx="9">
                  <c:v>136282.01999999999</c:v>
                </c:pt>
              </c:numCache>
            </c:numRef>
          </c:val>
          <c:extLst xmlns:c16r2="http://schemas.microsoft.com/office/drawing/2015/06/chart">
            <c:ext xmlns:c16="http://schemas.microsoft.com/office/drawing/2014/chart" uri="{C3380CC4-5D6E-409C-BE32-E72D297353CC}">
              <c16:uniqueId val="{00000000-B1E2-4C5F-AF28-93B6997419B8}"/>
            </c:ext>
          </c:extLst>
        </c:ser>
        <c:dLbls>
          <c:dLblPos val="outEnd"/>
          <c:showLegendKey val="0"/>
          <c:showVal val="1"/>
          <c:showCatName val="0"/>
          <c:showSerName val="0"/>
          <c:showPercent val="0"/>
          <c:showBubbleSize val="0"/>
        </c:dLbls>
        <c:gapWidth val="182"/>
        <c:axId val="298462208"/>
        <c:axId val="302710784"/>
      </c:barChart>
      <c:catAx>
        <c:axId val="29846220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302710784"/>
        <c:crosses val="autoZero"/>
        <c:auto val="1"/>
        <c:lblAlgn val="ctr"/>
        <c:lblOffset val="100"/>
        <c:noMultiLvlLbl val="0"/>
      </c:catAx>
      <c:valAx>
        <c:axId val="302710784"/>
        <c:scaling>
          <c:orientation val="minMax"/>
        </c:scaling>
        <c:delete val="1"/>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crossAx val="2984622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'Comp semanas'!$B$4</c:f>
              <c:strCache>
                <c:ptCount val="1"/>
                <c:pt idx="0">
                  <c:v>USA</c:v>
                </c:pt>
              </c:strCache>
            </c:strRef>
          </c:tx>
          <c:spPr>
            <a:ln w="28575" cap="rnd">
              <a:solidFill>
                <a:schemeClr val="accent1"/>
              </a:solidFill>
              <a:round/>
            </a:ln>
            <a:effectLst/>
          </c:spPr>
          <c:marker>
            <c:symbol val="none"/>
          </c:marker>
          <c:cat>
            <c:numRef>
              <c:f>'Comp semanas'!$C$3:$K$3</c:f>
              <c:numCache>
                <c:formatCode>General</c:formatCode>
                <c:ptCount val="9"/>
                <c:pt idx="0">
                  <c:v>22</c:v>
                </c:pt>
                <c:pt idx="1">
                  <c:v>23</c:v>
                </c:pt>
                <c:pt idx="2">
                  <c:v>24</c:v>
                </c:pt>
                <c:pt idx="3">
                  <c:v>25</c:v>
                </c:pt>
                <c:pt idx="4">
                  <c:v>26</c:v>
                </c:pt>
                <c:pt idx="5">
                  <c:v>27</c:v>
                </c:pt>
                <c:pt idx="6">
                  <c:v>28</c:v>
                </c:pt>
                <c:pt idx="7">
                  <c:v>29</c:v>
                </c:pt>
                <c:pt idx="8">
                  <c:v>30</c:v>
                </c:pt>
              </c:numCache>
            </c:numRef>
          </c:cat>
          <c:val>
            <c:numRef>
              <c:f>'Comp semanas'!$C$4:$K$4</c:f>
              <c:numCache>
                <c:formatCode>#,##0.00</c:formatCode>
                <c:ptCount val="9"/>
                <c:pt idx="0">
                  <c:v>18869.05</c:v>
                </c:pt>
                <c:pt idx="1">
                  <c:v>24816.640800000001</c:v>
                </c:pt>
                <c:pt idx="2">
                  <c:v>30622.913</c:v>
                </c:pt>
                <c:pt idx="3">
                  <c:v>35051.072200000002</c:v>
                </c:pt>
                <c:pt idx="4">
                  <c:v>41514.290800000002</c:v>
                </c:pt>
                <c:pt idx="5">
                  <c:v>45724.347800000003</c:v>
                </c:pt>
                <c:pt idx="6">
                  <c:v>50655.917800000003</c:v>
                </c:pt>
                <c:pt idx="7">
                  <c:v>55935.317800000004</c:v>
                </c:pt>
                <c:pt idx="8">
                  <c:v>60453.078800000003</c:v>
                </c:pt>
              </c:numCache>
            </c:numRef>
          </c:val>
          <c:smooth val="0"/>
          <c:extLst xmlns:c16r2="http://schemas.microsoft.com/office/drawing/2015/06/chart">
            <c:ext xmlns:c16="http://schemas.microsoft.com/office/drawing/2014/chart" uri="{C3380CC4-5D6E-409C-BE32-E72D297353CC}">
              <c16:uniqueId val="{00000000-BCA7-47CE-A099-ACD2B127424D}"/>
            </c:ext>
          </c:extLst>
        </c:ser>
        <c:ser>
          <c:idx val="1"/>
          <c:order val="1"/>
          <c:tx>
            <c:strRef>
              <c:f>'Comp semanas'!$B$5</c:f>
              <c:strCache>
                <c:ptCount val="1"/>
                <c:pt idx="0">
                  <c:v>UE</c:v>
                </c:pt>
              </c:strCache>
            </c:strRef>
          </c:tx>
          <c:spPr>
            <a:ln w="28575" cap="rnd">
              <a:solidFill>
                <a:schemeClr val="accent2"/>
              </a:solidFill>
              <a:round/>
            </a:ln>
            <a:effectLst/>
          </c:spPr>
          <c:marker>
            <c:symbol val="none"/>
          </c:marker>
          <c:cat>
            <c:numRef>
              <c:f>'Comp semanas'!$C$3:$K$3</c:f>
              <c:numCache>
                <c:formatCode>General</c:formatCode>
                <c:ptCount val="9"/>
                <c:pt idx="0">
                  <c:v>22</c:v>
                </c:pt>
                <c:pt idx="1">
                  <c:v>23</c:v>
                </c:pt>
                <c:pt idx="2">
                  <c:v>24</c:v>
                </c:pt>
                <c:pt idx="3">
                  <c:v>25</c:v>
                </c:pt>
                <c:pt idx="4">
                  <c:v>26</c:v>
                </c:pt>
                <c:pt idx="5">
                  <c:v>27</c:v>
                </c:pt>
                <c:pt idx="6">
                  <c:v>28</c:v>
                </c:pt>
                <c:pt idx="7">
                  <c:v>29</c:v>
                </c:pt>
                <c:pt idx="8">
                  <c:v>30</c:v>
                </c:pt>
              </c:numCache>
            </c:numRef>
          </c:cat>
          <c:val>
            <c:numRef>
              <c:f>'Comp semanas'!$C$5:$K$5</c:f>
              <c:numCache>
                <c:formatCode>#,##0.00</c:formatCode>
                <c:ptCount val="9"/>
                <c:pt idx="0">
                  <c:v>5973.98</c:v>
                </c:pt>
                <c:pt idx="1">
                  <c:v>10242.082999999999</c:v>
                </c:pt>
                <c:pt idx="2">
                  <c:v>16028.074999999999</c:v>
                </c:pt>
                <c:pt idx="3">
                  <c:v>24420.561000000009</c:v>
                </c:pt>
                <c:pt idx="4">
                  <c:v>36437.791000000012</c:v>
                </c:pt>
                <c:pt idx="5">
                  <c:v>40828.060000000012</c:v>
                </c:pt>
                <c:pt idx="6">
                  <c:v>51603.869000000013</c:v>
                </c:pt>
                <c:pt idx="7">
                  <c:v>58557.966000000015</c:v>
                </c:pt>
                <c:pt idx="8">
                  <c:v>70208.74500000001</c:v>
                </c:pt>
              </c:numCache>
            </c:numRef>
          </c:val>
          <c:smooth val="0"/>
          <c:extLst xmlns:c16r2="http://schemas.microsoft.com/office/drawing/2015/06/chart">
            <c:ext xmlns:c16="http://schemas.microsoft.com/office/drawing/2014/chart" uri="{C3380CC4-5D6E-409C-BE32-E72D297353CC}">
              <c16:uniqueId val="{00000001-BCA7-47CE-A099-ACD2B127424D}"/>
            </c:ext>
          </c:extLst>
        </c:ser>
        <c:ser>
          <c:idx val="2"/>
          <c:order val="2"/>
          <c:tx>
            <c:strRef>
              <c:f>'Comp semanas'!$B$6</c:f>
              <c:strCache>
                <c:ptCount val="1"/>
                <c:pt idx="0">
                  <c:v>RUSIA</c:v>
                </c:pt>
              </c:strCache>
            </c:strRef>
          </c:tx>
          <c:spPr>
            <a:ln w="28575" cap="rnd">
              <a:solidFill>
                <a:schemeClr val="accent3"/>
              </a:solidFill>
              <a:round/>
            </a:ln>
            <a:effectLst/>
          </c:spPr>
          <c:marker>
            <c:symbol val="none"/>
          </c:marker>
          <c:cat>
            <c:numRef>
              <c:f>'Comp semanas'!$C$3:$K$3</c:f>
              <c:numCache>
                <c:formatCode>General</c:formatCode>
                <c:ptCount val="9"/>
                <c:pt idx="0">
                  <c:v>22</c:v>
                </c:pt>
                <c:pt idx="1">
                  <c:v>23</c:v>
                </c:pt>
                <c:pt idx="2">
                  <c:v>24</c:v>
                </c:pt>
                <c:pt idx="3">
                  <c:v>25</c:v>
                </c:pt>
                <c:pt idx="4">
                  <c:v>26</c:v>
                </c:pt>
                <c:pt idx="5">
                  <c:v>27</c:v>
                </c:pt>
                <c:pt idx="6">
                  <c:v>28</c:v>
                </c:pt>
                <c:pt idx="7">
                  <c:v>29</c:v>
                </c:pt>
                <c:pt idx="8">
                  <c:v>30</c:v>
                </c:pt>
              </c:numCache>
            </c:numRef>
          </c:cat>
          <c:val>
            <c:numRef>
              <c:f>'Comp semanas'!$C$6:$K$6</c:f>
              <c:numCache>
                <c:formatCode>#,##0.00</c:formatCode>
                <c:ptCount val="9"/>
                <c:pt idx="0">
                  <c:v>15710.267</c:v>
                </c:pt>
                <c:pt idx="1">
                  <c:v>17845.456999999999</c:v>
                </c:pt>
                <c:pt idx="2">
                  <c:v>18607.091</c:v>
                </c:pt>
                <c:pt idx="3">
                  <c:v>20772.244999999999</c:v>
                </c:pt>
                <c:pt idx="4">
                  <c:v>22776.796999999999</c:v>
                </c:pt>
                <c:pt idx="5">
                  <c:v>24104.314999999999</c:v>
                </c:pt>
                <c:pt idx="6">
                  <c:v>25609.254099999998</c:v>
                </c:pt>
                <c:pt idx="7">
                  <c:v>26439.573099999998</c:v>
                </c:pt>
                <c:pt idx="8">
                  <c:v>28557.597099999999</c:v>
                </c:pt>
              </c:numCache>
            </c:numRef>
          </c:val>
          <c:smooth val="0"/>
          <c:extLst xmlns:c16r2="http://schemas.microsoft.com/office/drawing/2015/06/chart">
            <c:ext xmlns:c16="http://schemas.microsoft.com/office/drawing/2014/chart" uri="{C3380CC4-5D6E-409C-BE32-E72D297353CC}">
              <c16:uniqueId val="{00000002-BCA7-47CE-A099-ACD2B127424D}"/>
            </c:ext>
          </c:extLst>
        </c:ser>
        <c:ser>
          <c:idx val="3"/>
          <c:order val="3"/>
          <c:tx>
            <c:strRef>
              <c:f>'Comp semanas'!$B$7</c:f>
              <c:strCache>
                <c:ptCount val="1"/>
                <c:pt idx="0">
                  <c:v>OTROS DESTINOS</c:v>
                </c:pt>
              </c:strCache>
            </c:strRef>
          </c:tx>
          <c:spPr>
            <a:ln w="28575" cap="rnd">
              <a:solidFill>
                <a:schemeClr val="accent4"/>
              </a:solidFill>
              <a:round/>
            </a:ln>
            <a:effectLst/>
          </c:spPr>
          <c:marker>
            <c:symbol val="none"/>
          </c:marker>
          <c:cat>
            <c:numRef>
              <c:f>'Comp semanas'!$C$3:$K$3</c:f>
              <c:numCache>
                <c:formatCode>General</c:formatCode>
                <c:ptCount val="9"/>
                <c:pt idx="0">
                  <c:v>22</c:v>
                </c:pt>
                <c:pt idx="1">
                  <c:v>23</c:v>
                </c:pt>
                <c:pt idx="2">
                  <c:v>24</c:v>
                </c:pt>
                <c:pt idx="3">
                  <c:v>25</c:v>
                </c:pt>
                <c:pt idx="4">
                  <c:v>26</c:v>
                </c:pt>
                <c:pt idx="5">
                  <c:v>27</c:v>
                </c:pt>
                <c:pt idx="6">
                  <c:v>28</c:v>
                </c:pt>
                <c:pt idx="7">
                  <c:v>29</c:v>
                </c:pt>
                <c:pt idx="8">
                  <c:v>30</c:v>
                </c:pt>
              </c:numCache>
            </c:numRef>
          </c:cat>
          <c:val>
            <c:numRef>
              <c:f>'Comp semanas'!$C$7:$K$7</c:f>
              <c:numCache>
                <c:formatCode>#,##0.00</c:formatCode>
                <c:ptCount val="9"/>
                <c:pt idx="0">
                  <c:v>13970.4</c:v>
                </c:pt>
                <c:pt idx="1">
                  <c:v>17612.9264</c:v>
                </c:pt>
                <c:pt idx="2">
                  <c:v>19612.464</c:v>
                </c:pt>
                <c:pt idx="3">
                  <c:v>21552.694800000001</c:v>
                </c:pt>
                <c:pt idx="4">
                  <c:v>24371.1996</c:v>
                </c:pt>
                <c:pt idx="5">
                  <c:v>26446.059600000001</c:v>
                </c:pt>
                <c:pt idx="6">
                  <c:v>28263.848399999999</c:v>
                </c:pt>
                <c:pt idx="7">
                  <c:v>29617.8884</c:v>
                </c:pt>
                <c:pt idx="8">
                  <c:v>31276.778399999999</c:v>
                </c:pt>
              </c:numCache>
            </c:numRef>
          </c:val>
          <c:smooth val="0"/>
          <c:extLst xmlns:c16r2="http://schemas.microsoft.com/office/drawing/2015/06/chart">
            <c:ext xmlns:c16="http://schemas.microsoft.com/office/drawing/2014/chart" uri="{C3380CC4-5D6E-409C-BE32-E72D297353CC}">
              <c16:uniqueId val="{00000003-BCA7-47CE-A099-ACD2B127424D}"/>
            </c:ext>
          </c:extLst>
        </c:ser>
        <c:ser>
          <c:idx val="4"/>
          <c:order val="4"/>
          <c:tx>
            <c:strRef>
              <c:f>'Comp semanas'!$B$8</c:f>
              <c:strCache>
                <c:ptCount val="1"/>
                <c:pt idx="0">
                  <c:v>TOTAL</c:v>
                </c:pt>
              </c:strCache>
            </c:strRef>
          </c:tx>
          <c:spPr>
            <a:ln w="28575" cap="rnd">
              <a:solidFill>
                <a:schemeClr val="accent5"/>
              </a:solidFill>
              <a:round/>
            </a:ln>
            <a:effectLst/>
          </c:spPr>
          <c:marker>
            <c:symbol val="none"/>
          </c:marker>
          <c:cat>
            <c:numRef>
              <c:f>'Comp semanas'!$C$3:$K$3</c:f>
              <c:numCache>
                <c:formatCode>General</c:formatCode>
                <c:ptCount val="9"/>
                <c:pt idx="0">
                  <c:v>22</c:v>
                </c:pt>
                <c:pt idx="1">
                  <c:v>23</c:v>
                </c:pt>
                <c:pt idx="2">
                  <c:v>24</c:v>
                </c:pt>
                <c:pt idx="3">
                  <c:v>25</c:v>
                </c:pt>
                <c:pt idx="4">
                  <c:v>26</c:v>
                </c:pt>
                <c:pt idx="5">
                  <c:v>27</c:v>
                </c:pt>
                <c:pt idx="6">
                  <c:v>28</c:v>
                </c:pt>
                <c:pt idx="7">
                  <c:v>29</c:v>
                </c:pt>
                <c:pt idx="8">
                  <c:v>30</c:v>
                </c:pt>
              </c:numCache>
            </c:numRef>
          </c:cat>
          <c:val>
            <c:numRef>
              <c:f>'Comp semanas'!$C$8:$K$8</c:f>
              <c:numCache>
                <c:formatCode>#,##0.00</c:formatCode>
                <c:ptCount val="9"/>
                <c:pt idx="0">
                  <c:v>54523.697</c:v>
                </c:pt>
                <c:pt idx="1">
                  <c:v>70517.107199999999</c:v>
                </c:pt>
                <c:pt idx="2">
                  <c:v>84870.543000000005</c:v>
                </c:pt>
                <c:pt idx="3">
                  <c:v>101796.573</c:v>
                </c:pt>
                <c:pt idx="4">
                  <c:v>125100.0784</c:v>
                </c:pt>
                <c:pt idx="5">
                  <c:v>137102.78240000003</c:v>
                </c:pt>
                <c:pt idx="6">
                  <c:v>156132.88930000001</c:v>
                </c:pt>
                <c:pt idx="7">
                  <c:v>170550.74530000001</c:v>
                </c:pt>
                <c:pt idx="8">
                  <c:v>190496.19930000004</c:v>
                </c:pt>
              </c:numCache>
            </c:numRef>
          </c:val>
          <c:smooth val="0"/>
          <c:extLst xmlns:c16r2="http://schemas.microsoft.com/office/drawing/2015/06/chart">
            <c:ext xmlns:c16="http://schemas.microsoft.com/office/drawing/2014/chart" uri="{C3380CC4-5D6E-409C-BE32-E72D297353CC}">
              <c16:uniqueId val="{00000004-BCA7-47CE-A099-ACD2B127424D}"/>
            </c:ext>
          </c:extLst>
        </c:ser>
        <c:dLbls>
          <c:showLegendKey val="0"/>
          <c:showVal val="0"/>
          <c:showCatName val="0"/>
          <c:showSerName val="0"/>
          <c:showPercent val="0"/>
          <c:showBubbleSize val="0"/>
        </c:dLbls>
        <c:marker val="1"/>
        <c:smooth val="0"/>
        <c:axId val="291576064"/>
        <c:axId val="291581952"/>
      </c:lineChart>
      <c:catAx>
        <c:axId val="2915760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291581952"/>
        <c:crosses val="autoZero"/>
        <c:auto val="1"/>
        <c:lblAlgn val="ctr"/>
        <c:lblOffset val="100"/>
        <c:noMultiLvlLbl val="0"/>
      </c:catAx>
      <c:valAx>
        <c:axId val="291581952"/>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2915760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2">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
  <cs:dataPoint3D>
    <cs:lnRef idx="0"/>
    <cs:fillRef idx="0">
      <cs:styleClr val="auto"/>
    </cs:fillRef>
    <cs:effectRef idx="0"/>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52">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
  <cs:dataPoint3D>
    <cs:lnRef idx="0"/>
    <cs:fillRef idx="0">
      <cs:styleClr val="auto"/>
    </cs:fillRef>
    <cs:effectRef idx="0"/>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1.emf"/><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3</xdr:col>
      <xdr:colOff>647700</xdr:colOff>
      <xdr:row>19</xdr:row>
      <xdr:rowOff>133631</xdr:rowOff>
    </xdr:from>
    <xdr:to>
      <xdr:col>7</xdr:col>
      <xdr:colOff>238125</xdr:colOff>
      <xdr:row>33</xdr:row>
      <xdr:rowOff>95250</xdr:rowOff>
    </xdr:to>
    <xdr:graphicFrame macro="">
      <xdr:nvGraphicFramePr>
        <xdr:cNvPr id="9" name="Gráfico 8">
          <a:extLst>
            <a:ext uri="{FF2B5EF4-FFF2-40B4-BE49-F238E27FC236}">
              <a16:creationId xmlns:a16="http://schemas.microsoft.com/office/drawing/2014/main" xmlns=""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1</xdr:colOff>
      <xdr:row>1</xdr:row>
      <xdr:rowOff>0</xdr:rowOff>
    </xdr:from>
    <xdr:to>
      <xdr:col>2</xdr:col>
      <xdr:colOff>361951</xdr:colOff>
      <xdr:row>3</xdr:row>
      <xdr:rowOff>186578</xdr:rowOff>
    </xdr:to>
    <xdr:pic>
      <xdr:nvPicPr>
        <xdr:cNvPr id="3" name="2 Imagen">
          <a:extLst>
            <a:ext uri="{FF2B5EF4-FFF2-40B4-BE49-F238E27FC236}">
              <a16:creationId xmlns:a16="http://schemas.microsoft.com/office/drawing/2014/main" xmlns="" id="{00000000-0008-0000-0000-000003000000}"/>
            </a:ext>
          </a:extLst>
        </xdr:cNvPr>
        <xdr:cNvPicPr/>
      </xdr:nvPicPr>
      <xdr:blipFill>
        <a:blip xmlns:r="http://schemas.openxmlformats.org/officeDocument/2006/relationships" r:embed="rId2"/>
        <a:srcRect/>
        <a:stretch>
          <a:fillRect/>
        </a:stretch>
      </xdr:blipFill>
      <xdr:spPr bwMode="auto">
        <a:xfrm>
          <a:off x="219076" y="238125"/>
          <a:ext cx="2686050" cy="662828"/>
        </a:xfrm>
        <a:prstGeom prst="rect">
          <a:avLst/>
        </a:prstGeom>
        <a:noFill/>
        <a:ln w="9525">
          <a:noFill/>
          <a:miter lim="800000"/>
          <a:headEnd/>
          <a:tailEnd/>
        </a:ln>
      </xdr:spPr>
    </xdr:pic>
    <xdr:clientData/>
  </xdr:twoCellAnchor>
  <xdr:twoCellAnchor>
    <xdr:from>
      <xdr:col>0</xdr:col>
      <xdr:colOff>152400</xdr:colOff>
      <xdr:row>19</xdr:row>
      <xdr:rowOff>147637</xdr:rowOff>
    </xdr:from>
    <xdr:to>
      <xdr:col>3</xdr:col>
      <xdr:colOff>533400</xdr:colOff>
      <xdr:row>33</xdr:row>
      <xdr:rowOff>90487</xdr:rowOff>
    </xdr:to>
    <xdr:graphicFrame macro="">
      <xdr:nvGraphicFramePr>
        <xdr:cNvPr id="2" name="Gráfico 1">
          <a:extLst>
            <a:ext uri="{FF2B5EF4-FFF2-40B4-BE49-F238E27FC236}">
              <a16:creationId xmlns:a16="http://schemas.microsoft.com/office/drawing/2014/main" xmlns=""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xdr:col>
      <xdr:colOff>1381125</xdr:colOff>
      <xdr:row>25</xdr:row>
      <xdr:rowOff>147982</xdr:rowOff>
    </xdr:from>
    <xdr:ext cx="1322606" cy="483722"/>
    <xdr:sp macro="" textlink="">
      <xdr:nvSpPr>
        <xdr:cNvPr id="4" name="CuadroTexto 3">
          <a:extLst>
            <a:ext uri="{FF2B5EF4-FFF2-40B4-BE49-F238E27FC236}">
              <a16:creationId xmlns:a16="http://schemas.microsoft.com/office/drawing/2014/main" xmlns="" id="{00000000-0008-0000-0000-000004000000}"/>
            </a:ext>
          </a:extLst>
        </xdr:cNvPr>
        <xdr:cNvSpPr txBox="1"/>
      </xdr:nvSpPr>
      <xdr:spPr>
        <a:xfrm>
          <a:off x="1595438" y="5862982"/>
          <a:ext cx="1322606" cy="4837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es-ES" sz="1100"/>
            <a:t>Total Expot. Sem</a:t>
          </a:r>
          <a:r>
            <a:rPr lang="es-ES" sz="1100" baseline="0"/>
            <a:t> 32</a:t>
          </a:r>
        </a:p>
        <a:p>
          <a:pPr algn="ctr"/>
          <a:r>
            <a:rPr lang="es-ES" sz="1400" b="1" baseline="0"/>
            <a:t>284.428,87 TN</a:t>
          </a:r>
          <a:endParaRPr lang="es-ES" sz="1400" b="1"/>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1</xdr:row>
      <xdr:rowOff>0</xdr:rowOff>
    </xdr:from>
    <xdr:to>
      <xdr:col>2</xdr:col>
      <xdr:colOff>830037</xdr:colOff>
      <xdr:row>3</xdr:row>
      <xdr:rowOff>194982</xdr:rowOff>
    </xdr:to>
    <xdr:pic>
      <xdr:nvPicPr>
        <xdr:cNvPr id="2" name="1 Imagen">
          <a:extLst>
            <a:ext uri="{FF2B5EF4-FFF2-40B4-BE49-F238E27FC236}">
              <a16:creationId xmlns:a16="http://schemas.microsoft.com/office/drawing/2014/main" xmlns="" id="{00000000-0008-0000-0100-000002000000}"/>
            </a:ext>
          </a:extLst>
        </xdr:cNvPr>
        <xdr:cNvPicPr/>
      </xdr:nvPicPr>
      <xdr:blipFill>
        <a:blip xmlns:r="http://schemas.openxmlformats.org/officeDocument/2006/relationships" r:embed="rId1"/>
        <a:srcRect/>
        <a:stretch>
          <a:fillRect/>
        </a:stretch>
      </xdr:blipFill>
      <xdr:spPr bwMode="auto">
        <a:xfrm>
          <a:off x="489858" y="204107"/>
          <a:ext cx="2762250" cy="664029"/>
        </a:xfrm>
        <a:prstGeom prst="rect">
          <a:avLst/>
        </a:prstGeom>
        <a:noFill/>
        <a:ln w="9525">
          <a:noFill/>
          <a:miter lim="800000"/>
          <a:headEnd/>
          <a:tailEnd/>
        </a:ln>
      </xdr:spPr>
    </xdr:pic>
    <xdr:clientData/>
  </xdr:twoCellAnchor>
  <xdr:twoCellAnchor>
    <xdr:from>
      <xdr:col>1</xdr:col>
      <xdr:colOff>140071</xdr:colOff>
      <xdr:row>22</xdr:row>
      <xdr:rowOff>135590</xdr:rowOff>
    </xdr:from>
    <xdr:to>
      <xdr:col>3</xdr:col>
      <xdr:colOff>1411940</xdr:colOff>
      <xdr:row>38</xdr:row>
      <xdr:rowOff>156882</xdr:rowOff>
    </xdr:to>
    <xdr:graphicFrame macro="">
      <xdr:nvGraphicFramePr>
        <xdr:cNvPr id="4" name="Gráfico 3">
          <a:extLst>
            <a:ext uri="{FF2B5EF4-FFF2-40B4-BE49-F238E27FC236}">
              <a16:creationId xmlns:a16="http://schemas.microsoft.com/office/drawing/2014/main" xmlns=""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0.36437</cdr:x>
      <cdr:y>0.45463</cdr:y>
    </cdr:from>
    <cdr:to>
      <cdr:x>0.64807</cdr:x>
      <cdr:y>0.61409</cdr:y>
    </cdr:to>
    <cdr:sp macro="" textlink="">
      <cdr:nvSpPr>
        <cdr:cNvPr id="2" name="CuadroTexto 3"/>
        <cdr:cNvSpPr txBox="1"/>
      </cdr:nvSpPr>
      <cdr:spPr>
        <a:xfrm xmlns:a="http://schemas.openxmlformats.org/drawingml/2006/main">
          <a:off x="1831848" y="1512929"/>
          <a:ext cx="1426288" cy="530658"/>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ctr">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lang="es-ES" sz="1200"/>
            <a:t>Total Expot. Sem</a:t>
          </a:r>
          <a:r>
            <a:rPr lang="es-ES" sz="1200" baseline="0"/>
            <a:t> 31</a:t>
          </a:r>
        </a:p>
        <a:p xmlns:a="http://schemas.openxmlformats.org/drawingml/2006/main">
          <a:pPr algn="ctr"/>
          <a:r>
            <a:rPr lang="es-ES" sz="1600" b="1" baseline="0"/>
            <a:t>200.486,42 tn</a:t>
          </a:r>
          <a:endParaRPr lang="es-ES" sz="1600" b="1"/>
        </a:p>
      </cdr:txBody>
    </cdr:sp>
  </cdr:relSizeAnchor>
</c:userShapes>
</file>

<file path=xl/drawings/drawing4.xml><?xml version="1.0" encoding="utf-8"?>
<xdr:wsDr xmlns:xdr="http://schemas.openxmlformats.org/drawingml/2006/spreadsheetDrawing" xmlns:a="http://schemas.openxmlformats.org/drawingml/2006/main">
  <xdr:twoCellAnchor editAs="oneCell">
    <xdr:from>
      <xdr:col>0</xdr:col>
      <xdr:colOff>238125</xdr:colOff>
      <xdr:row>0</xdr:row>
      <xdr:rowOff>152400</xdr:rowOff>
    </xdr:from>
    <xdr:to>
      <xdr:col>2</xdr:col>
      <xdr:colOff>1600200</xdr:colOff>
      <xdr:row>4</xdr:row>
      <xdr:rowOff>38100</xdr:rowOff>
    </xdr:to>
    <xdr:pic>
      <xdr:nvPicPr>
        <xdr:cNvPr id="2" name="1 Imagen">
          <a:extLst>
            <a:ext uri="{FF2B5EF4-FFF2-40B4-BE49-F238E27FC236}">
              <a16:creationId xmlns:a16="http://schemas.microsoft.com/office/drawing/2014/main" xmlns="" id="{00000000-0008-0000-0200-000002000000}"/>
            </a:ext>
          </a:extLst>
        </xdr:cNvPr>
        <xdr:cNvPicPr/>
      </xdr:nvPicPr>
      <xdr:blipFill>
        <a:blip xmlns:r="http://schemas.openxmlformats.org/officeDocument/2006/relationships" r:embed="rId1"/>
        <a:srcRect/>
        <a:stretch>
          <a:fillRect/>
        </a:stretch>
      </xdr:blipFill>
      <xdr:spPr bwMode="auto">
        <a:xfrm>
          <a:off x="238125" y="152400"/>
          <a:ext cx="2790825" cy="657225"/>
        </a:xfrm>
        <a:prstGeom prst="rect">
          <a:avLst/>
        </a:prstGeom>
        <a:noFill/>
        <a:ln w="9525">
          <a:noFill/>
          <a:miter lim="800000"/>
          <a:headEnd/>
          <a:tailEnd/>
        </a:ln>
      </xdr:spPr>
    </xdr:pic>
    <xdr:clientData/>
  </xdr:twoCellAnchor>
  <xdr:twoCellAnchor editAs="oneCell">
    <xdr:from>
      <xdr:col>9</xdr:col>
      <xdr:colOff>907677</xdr:colOff>
      <xdr:row>54</xdr:row>
      <xdr:rowOff>78442</xdr:rowOff>
    </xdr:from>
    <xdr:to>
      <xdr:col>16</xdr:col>
      <xdr:colOff>84044</xdr:colOff>
      <xdr:row>79</xdr:row>
      <xdr:rowOff>11206</xdr:rowOff>
    </xdr:to>
    <xdr:sp macro="" textlink="">
      <xdr:nvSpPr>
        <xdr:cNvPr id="3073" name="AutoShape 1">
          <a:extLst>
            <a:ext uri="{FF2B5EF4-FFF2-40B4-BE49-F238E27FC236}">
              <a16:creationId xmlns:a16="http://schemas.microsoft.com/office/drawing/2014/main" xmlns="" id="{00000000-0008-0000-0200-0000010C0000}"/>
            </a:ext>
          </a:extLst>
        </xdr:cNvPr>
        <xdr:cNvSpPr>
          <a:spLocks noChangeAspect="1" noChangeArrowheads="1"/>
        </xdr:cNvSpPr>
      </xdr:nvSpPr>
      <xdr:spPr bwMode="auto">
        <a:xfrm>
          <a:off x="11071412" y="11799795"/>
          <a:ext cx="4695264" cy="469526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45</xdr:row>
      <xdr:rowOff>0</xdr:rowOff>
    </xdr:from>
    <xdr:to>
      <xdr:col>6</xdr:col>
      <xdr:colOff>304800</xdr:colOff>
      <xdr:row>46</xdr:row>
      <xdr:rowOff>114300</xdr:rowOff>
    </xdr:to>
    <xdr:sp macro="" textlink="">
      <xdr:nvSpPr>
        <xdr:cNvPr id="3074" name="AutoShape 2">
          <a:extLst>
            <a:ext uri="{FF2B5EF4-FFF2-40B4-BE49-F238E27FC236}">
              <a16:creationId xmlns:a16="http://schemas.microsoft.com/office/drawing/2014/main" xmlns="" id="{00000000-0008-0000-0200-0000020C0000}"/>
            </a:ext>
          </a:extLst>
        </xdr:cNvPr>
        <xdr:cNvSpPr>
          <a:spLocks noChangeAspect="1" noChangeArrowheads="1"/>
        </xdr:cNvSpPr>
      </xdr:nvSpPr>
      <xdr:spPr bwMode="auto">
        <a:xfrm>
          <a:off x="6686550" y="9972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44</xdr:row>
      <xdr:rowOff>0</xdr:rowOff>
    </xdr:from>
    <xdr:to>
      <xdr:col>1</xdr:col>
      <xdr:colOff>304800</xdr:colOff>
      <xdr:row>45</xdr:row>
      <xdr:rowOff>114300</xdr:rowOff>
    </xdr:to>
    <xdr:sp macro="" textlink="">
      <xdr:nvSpPr>
        <xdr:cNvPr id="3075" name="AutoShape 3">
          <a:extLst>
            <a:ext uri="{FF2B5EF4-FFF2-40B4-BE49-F238E27FC236}">
              <a16:creationId xmlns:a16="http://schemas.microsoft.com/office/drawing/2014/main" xmlns="" id="{00000000-0008-0000-0200-0000030C0000}"/>
            </a:ext>
          </a:extLst>
        </xdr:cNvPr>
        <xdr:cNvSpPr>
          <a:spLocks noChangeAspect="1" noChangeArrowheads="1"/>
        </xdr:cNvSpPr>
      </xdr:nvSpPr>
      <xdr:spPr bwMode="auto">
        <a:xfrm>
          <a:off x="333375" y="9210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12</xdr:col>
      <xdr:colOff>19050</xdr:colOff>
      <xdr:row>0</xdr:row>
      <xdr:rowOff>19051</xdr:rowOff>
    </xdr:from>
    <xdr:to>
      <xdr:col>14</xdr:col>
      <xdr:colOff>735965</xdr:colOff>
      <xdr:row>3</xdr:row>
      <xdr:rowOff>1</xdr:rowOff>
    </xdr:to>
    <xdr:pic>
      <xdr:nvPicPr>
        <xdr:cNvPr id="2" name="1 Imagen">
          <a:extLst>
            <a:ext uri="{FF2B5EF4-FFF2-40B4-BE49-F238E27FC236}">
              <a16:creationId xmlns:a16="http://schemas.microsoft.com/office/drawing/2014/main" xmlns="" id="{00000000-0008-0000-0300-000002000000}"/>
            </a:ext>
          </a:extLst>
        </xdr:cNvPr>
        <xdr:cNvPicPr/>
      </xdr:nvPicPr>
      <xdr:blipFill>
        <a:blip xmlns:r="http://schemas.openxmlformats.org/officeDocument/2006/relationships" r:embed="rId1"/>
        <a:srcRect/>
        <a:stretch>
          <a:fillRect/>
        </a:stretch>
      </xdr:blipFill>
      <xdr:spPr bwMode="auto">
        <a:xfrm>
          <a:off x="10239375" y="19051"/>
          <a:ext cx="2240915" cy="590550"/>
        </a:xfrm>
        <a:prstGeom prst="rect">
          <a:avLst/>
        </a:prstGeom>
        <a:noFill/>
        <a:ln w="9525">
          <a:noFill/>
          <a:miter lim="800000"/>
          <a:headEnd/>
          <a:tailEnd/>
        </a:ln>
      </xdr:spPr>
    </xdr:pic>
    <xdr:clientData/>
  </xdr:twoCellAnchor>
  <xdr:twoCellAnchor>
    <xdr:from>
      <xdr:col>7</xdr:col>
      <xdr:colOff>14287</xdr:colOff>
      <xdr:row>2</xdr:row>
      <xdr:rowOff>204787</xdr:rowOff>
    </xdr:from>
    <xdr:to>
      <xdr:col>13</xdr:col>
      <xdr:colOff>57151</xdr:colOff>
      <xdr:row>15</xdr:row>
      <xdr:rowOff>66675</xdr:rowOff>
    </xdr:to>
    <xdr:graphicFrame macro="">
      <xdr:nvGraphicFramePr>
        <xdr:cNvPr id="10" name="Gráfico 9">
          <a:extLst>
            <a:ext uri="{FF2B5EF4-FFF2-40B4-BE49-F238E27FC236}">
              <a16:creationId xmlns:a16="http://schemas.microsoft.com/office/drawing/2014/main" xmlns="" id="{00000000-0008-0000-03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18</xdr:row>
      <xdr:rowOff>0</xdr:rowOff>
    </xdr:from>
    <xdr:to>
      <xdr:col>0</xdr:col>
      <xdr:colOff>304800</xdr:colOff>
      <xdr:row>19</xdr:row>
      <xdr:rowOff>114300</xdr:rowOff>
    </xdr:to>
    <xdr:sp macro="" textlink="">
      <xdr:nvSpPr>
        <xdr:cNvPr id="4098" name="AutoShape 2">
          <a:extLst>
            <a:ext uri="{FF2B5EF4-FFF2-40B4-BE49-F238E27FC236}">
              <a16:creationId xmlns:a16="http://schemas.microsoft.com/office/drawing/2014/main" xmlns="" id="{00000000-0008-0000-0300-000002100000}"/>
            </a:ext>
          </a:extLst>
        </xdr:cNvPr>
        <xdr:cNvSpPr>
          <a:spLocks noChangeAspect="1" noChangeArrowheads="1"/>
        </xdr:cNvSpPr>
      </xdr:nvSpPr>
      <xdr:spPr bwMode="auto">
        <a:xfrm>
          <a:off x="438150" y="3733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18</xdr:row>
      <xdr:rowOff>0</xdr:rowOff>
    </xdr:from>
    <xdr:to>
      <xdr:col>0</xdr:col>
      <xdr:colOff>304800</xdr:colOff>
      <xdr:row>19</xdr:row>
      <xdr:rowOff>114300</xdr:rowOff>
    </xdr:to>
    <xdr:sp macro="" textlink="">
      <xdr:nvSpPr>
        <xdr:cNvPr id="4099" name="AutoShape 3">
          <a:extLst>
            <a:ext uri="{FF2B5EF4-FFF2-40B4-BE49-F238E27FC236}">
              <a16:creationId xmlns:a16="http://schemas.microsoft.com/office/drawing/2014/main" xmlns="" id="{00000000-0008-0000-0300-000003100000}"/>
            </a:ext>
          </a:extLst>
        </xdr:cNvPr>
        <xdr:cNvSpPr>
          <a:spLocks noChangeAspect="1" noChangeArrowheads="1"/>
        </xdr:cNvSpPr>
      </xdr:nvSpPr>
      <xdr:spPr bwMode="auto">
        <a:xfrm>
          <a:off x="438150" y="3733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17</xdr:row>
      <xdr:rowOff>190499</xdr:rowOff>
    </xdr:from>
    <xdr:to>
      <xdr:col>4</xdr:col>
      <xdr:colOff>605118</xdr:colOff>
      <xdr:row>39</xdr:row>
      <xdr:rowOff>123264</xdr:rowOff>
    </xdr:to>
    <xdr:sp macro="" textlink="">
      <xdr:nvSpPr>
        <xdr:cNvPr id="4100" name="AutoShape 4">
          <a:extLst>
            <a:ext uri="{FF2B5EF4-FFF2-40B4-BE49-F238E27FC236}">
              <a16:creationId xmlns:a16="http://schemas.microsoft.com/office/drawing/2014/main" xmlns="" id="{00000000-0008-0000-0300-000004100000}"/>
            </a:ext>
          </a:extLst>
        </xdr:cNvPr>
        <xdr:cNvSpPr>
          <a:spLocks noChangeAspect="1" noChangeArrowheads="1"/>
        </xdr:cNvSpPr>
      </xdr:nvSpPr>
      <xdr:spPr bwMode="auto">
        <a:xfrm>
          <a:off x="437028" y="3765175"/>
          <a:ext cx="4123765" cy="412376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333375</xdr:colOff>
      <xdr:row>12</xdr:row>
      <xdr:rowOff>4762</xdr:rowOff>
    </xdr:from>
    <xdr:to>
      <xdr:col>9</xdr:col>
      <xdr:colOff>333375</xdr:colOff>
      <xdr:row>26</xdr:row>
      <xdr:rowOff>80962</xdr:rowOff>
    </xdr:to>
    <xdr:graphicFrame macro="">
      <xdr:nvGraphicFramePr>
        <xdr:cNvPr id="2" name="Gráfico 3">
          <a:extLst>
            <a:ext uri="{FF2B5EF4-FFF2-40B4-BE49-F238E27FC236}">
              <a16:creationId xmlns:a16="http://schemas.microsoft.com/office/drawing/2014/main" xmlns="" id="{9A475A2A-F7E4-412C-A92C-2B0AF9BA99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CNOA/Downloads/Exportacion%20Citricos%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Hoja2"/>
    </sheetNames>
    <sheetDataSet>
      <sheetData sheetId="0">
        <row r="6">
          <cell r="B6" t="str">
            <v>30-70796411-8</v>
          </cell>
        </row>
        <row r="7">
          <cell r="B7" t="str">
            <v>30-70796411-8</v>
          </cell>
        </row>
        <row r="8">
          <cell r="B8" t="str">
            <v>30-50623091-4</v>
          </cell>
        </row>
        <row r="9">
          <cell r="B9" t="str">
            <v>30-70796411-8</v>
          </cell>
        </row>
      </sheetData>
      <sheetData sheetId="1" refreshError="1"/>
    </sheetDataSet>
  </externalBook>
</externalLink>
</file>

<file path=xl/pivotCache/_rels/pivotCacheDefinition1.xml.rels><?xml version="1.0" encoding="UTF-8" standalone="yes"?>
<Relationships xmlns="http://schemas.openxmlformats.org/package/2006/relationships"><Relationship Id="rId2" Type="http://schemas.openxmlformats.org/officeDocument/2006/relationships/externalLinkPath" Target="/Users/ACNOA/Downloads/Base%20detecciones%202020.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FINOA - Mariana" refreshedDate="44382.542707060187" createdVersion="7" refreshedVersion="4" minRefreshableVersion="3" recordCount="182">
  <cacheSource type="worksheet">
    <worksheetSource ref="A1:J183" sheet="EMPAQUE" r:id="rId2"/>
  </cacheSource>
  <cacheFields count="10">
    <cacheField name="Nº" numFmtId="0">
      <sharedItems containsString="0" containsBlank="1" containsNumber="1" containsInteger="1" minValue="1" maxValue="237"/>
    </cacheField>
    <cacheField name="Fecha Detección" numFmtId="14">
      <sharedItems containsSemiMixedTypes="0" containsNonDate="0" containsDate="1" containsString="0" minDate="2020-04-15T00:00:00" maxDate="2020-07-22T00:00:00" count="65">
        <d v="2020-04-15T00:00:00"/>
        <d v="2020-04-16T00:00:00"/>
        <d v="2020-04-17T00:00:00"/>
        <d v="2020-04-18T00:00:00"/>
        <d v="2020-04-20T00:00:00"/>
        <d v="2020-04-21T00:00:00"/>
        <d v="2020-04-23T00:00:00"/>
        <d v="2020-04-24T00:00:00"/>
        <d v="2020-04-25T00:00:00"/>
        <d v="2020-04-27T00:00:00"/>
        <d v="2020-04-28T00:00:00"/>
        <d v="2020-04-29T00:00:00"/>
        <d v="2020-04-30T00:00:00"/>
        <d v="2020-05-02T00:00:00"/>
        <d v="2020-05-04T00:00:00"/>
        <d v="2020-05-05T00:00:00"/>
        <d v="2020-05-06T00:00:00"/>
        <d v="2020-05-07T00:00:00"/>
        <d v="2020-05-08T00:00:00"/>
        <d v="2020-05-09T00:00:00"/>
        <d v="2020-05-12T00:00:00"/>
        <d v="2020-05-13T00:00:00"/>
        <d v="2020-05-14T00:00:00"/>
        <d v="2020-05-15T00:00:00"/>
        <d v="2020-05-16T00:00:00"/>
        <d v="2020-05-18T00:00:00"/>
        <d v="2020-05-20T00:00:00"/>
        <d v="2020-05-21T00:00:00"/>
        <d v="2020-05-22T00:00:00"/>
        <d v="2020-05-23T00:00:00"/>
        <d v="2020-05-25T00:00:00"/>
        <d v="2020-05-26T00:00:00"/>
        <d v="2020-05-27T00:00:00"/>
        <d v="2020-05-28T00:00:00"/>
        <d v="2020-05-29T00:00:00"/>
        <d v="2020-06-01T00:00:00"/>
        <d v="2020-06-02T00:00:00"/>
        <d v="2020-06-03T00:00:00"/>
        <d v="2020-06-04T00:00:00"/>
        <d v="2020-06-05T00:00:00"/>
        <d v="2020-06-06T00:00:00"/>
        <d v="2020-06-08T00:00:00"/>
        <d v="2020-06-09T00:00:00"/>
        <d v="2020-06-10T00:00:00"/>
        <d v="2020-06-11T00:00:00"/>
        <d v="2020-06-12T00:00:00"/>
        <d v="2020-06-15T00:00:00"/>
        <d v="2020-06-16T00:00:00"/>
        <d v="2020-06-17T00:00:00"/>
        <d v="2020-06-18T00:00:00"/>
        <d v="2020-06-19T00:00:00"/>
        <d v="2020-06-20T00:00:00"/>
        <d v="2020-06-23T00:00:00"/>
        <d v="2020-06-29T00:00:00"/>
        <d v="2020-06-30T00:00:00"/>
        <d v="2020-07-03T00:00:00"/>
        <d v="2020-07-08T00:00:00"/>
        <d v="2020-07-10T00:00:00"/>
        <d v="2020-07-11T00:00:00"/>
        <d v="2020-07-12T00:00:00"/>
        <d v="2020-07-14T00:00:00"/>
        <d v="2020-07-15T00:00:00"/>
        <d v="2020-07-17T00:00:00"/>
        <d v="2020-07-20T00:00:00"/>
        <d v="2020-07-21T00:00:00"/>
      </sharedItems>
    </cacheField>
    <cacheField name="Fecha Inhabilitación SITC" numFmtId="0">
      <sharedItems containsDate="1" containsMixedTypes="1" minDate="1900-01-06T00:00:00" maxDate="2020-07-24T00:00:00"/>
    </cacheField>
    <cacheField name="SITUACION" numFmtId="0">
      <sharedItems count="3">
        <s v="INHABILITADA"/>
        <s v="BLOQUEADA"/>
        <s v="EVENTO"/>
      </sharedItems>
    </cacheField>
    <cacheField name="UP" numFmtId="0">
      <sharedItems/>
    </cacheField>
    <cacheField name="Establecimiento" numFmtId="0">
      <sharedItems/>
    </cacheField>
    <cacheField name="Especie" numFmtId="0">
      <sharedItems count="2">
        <s v="LIMON"/>
        <s v="NARANJA"/>
      </sharedItems>
    </cacheField>
    <cacheField name="Causa" numFmtId="0">
      <sharedItems count="3">
        <s v="MANCHA"/>
        <s v="CANCRO"/>
        <s v="MOSCA"/>
      </sharedItems>
    </cacheField>
    <cacheField name="Lugar" numFmtId="0">
      <sharedItems count="1">
        <s v="EMPAQUE"/>
      </sharedItems>
    </cacheField>
    <cacheField name="Empaque"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82">
  <r>
    <n v="1"/>
    <x v="0"/>
    <d v="2020-04-17T00:00:00"/>
    <x v="0"/>
    <s v="TU-0023-001"/>
    <s v="TU-0023"/>
    <x v="0"/>
    <x v="0"/>
    <x v="0"/>
    <s v="CITRUSVIL S.A."/>
  </r>
  <r>
    <n v="3"/>
    <x v="1"/>
    <d v="2020-04-18T00:00:00"/>
    <x v="0"/>
    <s v="TU-0009-010"/>
    <s v="TU-0009"/>
    <x v="0"/>
    <x v="0"/>
    <x v="0"/>
    <s v="VICENTE TRÁPANI S.A."/>
  </r>
  <r>
    <n v="4"/>
    <x v="2"/>
    <s v="SIN INHABILITACION"/>
    <x v="1"/>
    <s v="TU-0426-026"/>
    <s v="TU-0426"/>
    <x v="0"/>
    <x v="1"/>
    <x v="0"/>
    <s v="FRANCISCO E. MUDAD"/>
  </r>
  <r>
    <n v="6"/>
    <x v="3"/>
    <d v="2020-04-18T00:00:00"/>
    <x v="0"/>
    <s v="TU-0019-021"/>
    <s v="TU-0019"/>
    <x v="0"/>
    <x v="0"/>
    <x v="0"/>
    <s v="VICENTE TRÁPANI S.A."/>
  </r>
  <r>
    <n v="7"/>
    <x v="4"/>
    <d v="2020-04-22T00:00:00"/>
    <x v="0"/>
    <s v="TU-0018-024"/>
    <s v="TU-0018"/>
    <x v="0"/>
    <x v="1"/>
    <x v="0"/>
    <s v="CITRUSVIL S.A."/>
  </r>
  <r>
    <n v="8"/>
    <x v="4"/>
    <d v="2020-04-22T00:00:00"/>
    <x v="0"/>
    <s v="TU-0426-013"/>
    <s v="TU-0426"/>
    <x v="0"/>
    <x v="1"/>
    <x v="0"/>
    <s v="FRANCISCO E. MUDAD"/>
  </r>
  <r>
    <n v="9"/>
    <x v="4"/>
    <d v="2020-04-23T00:00:00"/>
    <x v="0"/>
    <s v="TU-0019-018"/>
    <s v="TU-0019"/>
    <x v="0"/>
    <x v="1"/>
    <x v="0"/>
    <s v="VICENTE TRÁPANI S.A."/>
  </r>
  <r>
    <n v="10"/>
    <x v="4"/>
    <d v="2020-04-22T00:00:00"/>
    <x v="0"/>
    <s v="TU-0009-003"/>
    <s v="TU-0009"/>
    <x v="0"/>
    <x v="0"/>
    <x v="0"/>
    <s v="VICENTE TRÁPANI S.A."/>
  </r>
  <r>
    <n v="11"/>
    <x v="5"/>
    <d v="2020-04-24T00:00:00"/>
    <x v="0"/>
    <s v="TU-0123-009"/>
    <s v="TU-0123"/>
    <x v="0"/>
    <x v="2"/>
    <x v="0"/>
    <s v="S.A. SAN MIGUEL"/>
  </r>
  <r>
    <n v="12"/>
    <x v="6"/>
    <d v="2020-04-27T00:00:00"/>
    <x v="0"/>
    <s v="TU-0426-038"/>
    <s v="TU-0426"/>
    <x v="0"/>
    <x v="1"/>
    <x v="0"/>
    <s v="FRANCISCO E. MUDAD"/>
  </r>
  <r>
    <n v="13"/>
    <x v="7"/>
    <d v="2020-04-28T00:00:00"/>
    <x v="0"/>
    <s v="TU-0558-002"/>
    <s v="TU-0558"/>
    <x v="0"/>
    <x v="0"/>
    <x v="0"/>
    <s v="LATIN LEMON S.A."/>
  </r>
  <r>
    <n v="14"/>
    <x v="7"/>
    <s v="SIN INHABILITACION"/>
    <x v="1"/>
    <s v="TU-0024-038"/>
    <s v="TU-0024"/>
    <x v="0"/>
    <x v="1"/>
    <x v="0"/>
    <s v="CITRUSVIL S.A."/>
  </r>
  <r>
    <n v="15"/>
    <x v="7"/>
    <s v="SIN INHABILITACION"/>
    <x v="1"/>
    <s v="TU-0337-002"/>
    <s v="TU-0337"/>
    <x v="0"/>
    <x v="1"/>
    <x v="0"/>
    <s v="LATIN LEMON S.A."/>
  </r>
  <r>
    <n v="16"/>
    <x v="8"/>
    <d v="2020-04-28T00:00:00"/>
    <x v="0"/>
    <s v="TU-0502-002"/>
    <s v="TU-0502"/>
    <x v="0"/>
    <x v="0"/>
    <x v="0"/>
    <s v="HERECITRUS S.R.L"/>
  </r>
  <r>
    <n v="17"/>
    <x v="8"/>
    <d v="2020-04-28T00:00:00"/>
    <x v="0"/>
    <s v="TU-0009-009"/>
    <s v="TU-0009"/>
    <x v="0"/>
    <x v="0"/>
    <x v="0"/>
    <s v="VICENTE TRÁPANI S.A."/>
  </r>
  <r>
    <n v="18"/>
    <x v="9"/>
    <d v="2020-04-30T00:00:00"/>
    <x v="0"/>
    <s v="TU-0013-001"/>
    <s v="TU-0013"/>
    <x v="0"/>
    <x v="0"/>
    <x v="0"/>
    <s v="MARTÍNEZ NAVARRO S.A."/>
  </r>
  <r>
    <n v="19"/>
    <x v="10"/>
    <d v="2020-04-30T00:00:00"/>
    <x v="0"/>
    <s v="TU-0003-006"/>
    <s v="TU-0003"/>
    <x v="0"/>
    <x v="1"/>
    <x v="0"/>
    <s v="BORMAR S.A."/>
  </r>
  <r>
    <n v="20"/>
    <x v="10"/>
    <d v="2020-04-30T00:00:00"/>
    <x v="0"/>
    <s v="TU-0013-008"/>
    <s v="TU-0013"/>
    <x v="0"/>
    <x v="0"/>
    <x v="0"/>
    <s v="MARTÍNEZ NAVARRO S.A."/>
  </r>
  <r>
    <n v="21"/>
    <x v="10"/>
    <d v="2020-04-30T00:00:00"/>
    <x v="0"/>
    <s v="TU-0018-026"/>
    <s v="TU-0018"/>
    <x v="0"/>
    <x v="1"/>
    <x v="0"/>
    <s v="CITRUSVIL S.A."/>
  </r>
  <r>
    <n v="22"/>
    <x v="10"/>
    <s v="SIN INHABILITACION"/>
    <x v="1"/>
    <s v="TU-0308-010"/>
    <s v="TU-0308"/>
    <x v="0"/>
    <x v="1"/>
    <x v="0"/>
    <s v="JUAN MANUEL ROTTA"/>
  </r>
  <r>
    <n v="23"/>
    <x v="10"/>
    <s v="SIN INHABILITACION"/>
    <x v="1"/>
    <s v="TU-0188-002"/>
    <s v="TU-0188"/>
    <x v="0"/>
    <x v="1"/>
    <x v="0"/>
    <s v="LATIN LEMON S.A."/>
  </r>
  <r>
    <n v="25"/>
    <x v="11"/>
    <d v="2020-05-04T00:00:00"/>
    <x v="0"/>
    <s v="TU-0019-011"/>
    <s v="TU-0019"/>
    <x v="0"/>
    <x v="0"/>
    <x v="0"/>
    <s v="VICENTE TRÁPANI S.A."/>
  </r>
  <r>
    <n v="26"/>
    <x v="11"/>
    <d v="2020-05-05T00:00:00"/>
    <x v="0"/>
    <s v="TU-0325-005"/>
    <s v="TU-0325"/>
    <x v="0"/>
    <x v="1"/>
    <x v="0"/>
    <s v="LATIN LEMON S.A."/>
  </r>
  <r>
    <n v="27"/>
    <x v="11"/>
    <s v="SIN INHABILITACION"/>
    <x v="1"/>
    <s v="TU-0400-008"/>
    <s v="TU-0400"/>
    <x v="0"/>
    <x v="1"/>
    <x v="0"/>
    <s v="ARBOLAR S.A."/>
  </r>
  <r>
    <n v="29"/>
    <x v="12"/>
    <s v="SIN INHABILITACION"/>
    <x v="1"/>
    <s v="TU-0353-040"/>
    <s v="TU-0353"/>
    <x v="0"/>
    <x v="1"/>
    <x v="0"/>
    <s v="S.A. VERACRUZ"/>
  </r>
  <r>
    <n v="30"/>
    <x v="12"/>
    <s v="SIN INHABILITACION"/>
    <x v="1"/>
    <s v="TU-0393-013"/>
    <s v="TU-0393"/>
    <x v="0"/>
    <x v="1"/>
    <x v="0"/>
    <s v="MARTÍNEZ NAVARRO S.A."/>
  </r>
  <r>
    <n v="31"/>
    <x v="13"/>
    <d v="2020-05-05T00:00:00"/>
    <x v="0"/>
    <s v="TU-0388-030"/>
    <s v="TU-0388"/>
    <x v="0"/>
    <x v="1"/>
    <x v="0"/>
    <s v="LATIN LEMON S.A."/>
  </r>
  <r>
    <n v="33"/>
    <x v="14"/>
    <d v="1900-01-06T00:00:00"/>
    <x v="0"/>
    <s v="TU-0034-012"/>
    <s v="TU-0034"/>
    <x v="0"/>
    <x v="1"/>
    <x v="0"/>
    <s v="CITRUSVIL S.A."/>
  </r>
  <r>
    <n v="35"/>
    <x v="15"/>
    <d v="2020-05-07T00:00:00"/>
    <x v="0"/>
    <s v="TU-0201-001"/>
    <s v="TU-0201"/>
    <x v="0"/>
    <x v="0"/>
    <x v="0"/>
    <s v="SAGITARIO EXPORTACIONES S.R.L."/>
  </r>
  <r>
    <n v="36"/>
    <x v="15"/>
    <d v="2020-05-08T00:00:00"/>
    <x v="0"/>
    <s v="TU-0262-052"/>
    <s v="TU-0262"/>
    <x v="0"/>
    <x v="1"/>
    <x v="0"/>
    <s v="S.A. VERACRUZ"/>
  </r>
  <r>
    <n v="37"/>
    <x v="15"/>
    <d v="2020-05-07T00:00:00"/>
    <x v="0"/>
    <s v="TU-0557-001"/>
    <s v="TU-0557"/>
    <x v="0"/>
    <x v="0"/>
    <x v="0"/>
    <s v="S.A. SAN MIGUEL"/>
  </r>
  <r>
    <n v="38"/>
    <x v="15"/>
    <s v="SIN INHABILITACION"/>
    <x v="1"/>
    <s v="TU-0301-028"/>
    <s v="TU-0301"/>
    <x v="0"/>
    <x v="1"/>
    <x v="0"/>
    <s v="HERECITRUS S.R.L"/>
  </r>
  <r>
    <n v="42"/>
    <x v="16"/>
    <d v="2020-05-09T00:00:00"/>
    <x v="0"/>
    <s v="TU-0201-004"/>
    <s v="TU-0201"/>
    <x v="0"/>
    <x v="0"/>
    <x v="0"/>
    <s v="SAGITARIO EXPORTACIONES S.R.L."/>
  </r>
  <r>
    <n v="43"/>
    <x v="16"/>
    <s v="SIN INHABILITACION"/>
    <x v="1"/>
    <s v="TU-0233-009"/>
    <s v="TU-0233"/>
    <x v="0"/>
    <x v="1"/>
    <x v="0"/>
    <s v="DIEGO ZAMORA E HIJO S.R.L."/>
  </r>
  <r>
    <n v="44"/>
    <x v="16"/>
    <d v="2020-05-11T00:00:00"/>
    <x v="0"/>
    <s v="SA-0057-011"/>
    <s v="SA-0057"/>
    <x v="0"/>
    <x v="0"/>
    <x v="0"/>
    <s v="RAMÓN TUMA S.A."/>
  </r>
  <r>
    <n v="45"/>
    <x v="17"/>
    <d v="2020-05-11T00:00:00"/>
    <x v="0"/>
    <s v="TU-0325-003"/>
    <s v="TU-0325"/>
    <x v="0"/>
    <x v="1"/>
    <x v="0"/>
    <s v="LATIN LEMON S.A."/>
  </r>
  <r>
    <n v="46"/>
    <x v="17"/>
    <d v="2020-05-11T00:00:00"/>
    <x v="0"/>
    <s v="TU-0418-026"/>
    <s v="TU-0418"/>
    <x v="0"/>
    <x v="0"/>
    <x v="0"/>
    <s v="LATIN LEMON S.A."/>
  </r>
  <r>
    <n v="47"/>
    <x v="17"/>
    <d v="2020-05-11T00:00:00"/>
    <x v="0"/>
    <s v="TU-0566-003"/>
    <s v="TU-0566"/>
    <x v="0"/>
    <x v="0"/>
    <x v="0"/>
    <s v="LATIN LEMON S.A."/>
  </r>
  <r>
    <n v="48"/>
    <x v="17"/>
    <s v="SIN INHABILITACION"/>
    <x v="1"/>
    <s v="TU-0435-005"/>
    <s v="TU-0435"/>
    <x v="0"/>
    <x v="1"/>
    <x v="0"/>
    <s v="HIJOS DE NORBERTO ESPARZA S.R.L."/>
  </r>
  <r>
    <n v="50"/>
    <x v="18"/>
    <s v="SIN INHABILITACION"/>
    <x v="1"/>
    <s v="TU-0057-003"/>
    <s v="TU-0057"/>
    <x v="0"/>
    <x v="1"/>
    <x v="0"/>
    <s v="CITRUSVIL S.A."/>
  </r>
  <r>
    <n v="53"/>
    <x v="19"/>
    <d v="2020-05-13T00:00:00"/>
    <x v="0"/>
    <s v="TU-0501-005"/>
    <s v="TU-0501"/>
    <x v="0"/>
    <x v="0"/>
    <x v="0"/>
    <s v="SAGITARIO EXPORTACIONES S.R.L."/>
  </r>
  <r>
    <n v="54"/>
    <x v="19"/>
    <d v="2020-05-13T00:00:00"/>
    <x v="0"/>
    <s v="TU-0034-026"/>
    <s v="TU-0034"/>
    <x v="0"/>
    <x v="1"/>
    <x v="0"/>
    <s v="CITRUSVIL S.A."/>
  </r>
  <r>
    <n v="55"/>
    <x v="19"/>
    <d v="2020-05-13T00:00:00"/>
    <x v="0"/>
    <s v="TU-0145-007"/>
    <s v="TU-0145"/>
    <x v="0"/>
    <x v="0"/>
    <x v="0"/>
    <s v="MARTÍNEZ NAVARRO S.A."/>
  </r>
  <r>
    <n v="58"/>
    <x v="20"/>
    <s v="14/50/2020"/>
    <x v="0"/>
    <s v="TU-0023-013"/>
    <s v="TU-0023"/>
    <x v="0"/>
    <x v="0"/>
    <x v="0"/>
    <s v="CITRUSVIL S.A."/>
  </r>
  <r>
    <n v="59"/>
    <x v="20"/>
    <s v="SIN INHABILITACION"/>
    <x v="1"/>
    <s v="TU-0175-005"/>
    <s v="TU-0175"/>
    <x v="0"/>
    <x v="1"/>
    <x v="0"/>
    <s v="LATIN LEMON S.A."/>
  </r>
  <r>
    <n v="61"/>
    <x v="21"/>
    <s v="15/50/2020"/>
    <x v="0"/>
    <s v="TU-0057-008"/>
    <s v="TU-0057"/>
    <x v="0"/>
    <x v="0"/>
    <x v="0"/>
    <s v="CITRUSVIL S.A."/>
  </r>
  <r>
    <n v="62"/>
    <x v="21"/>
    <s v="15/50/2020"/>
    <x v="0"/>
    <s v="TU-0426-018"/>
    <s v="TU-0426"/>
    <x v="0"/>
    <x v="1"/>
    <x v="0"/>
    <s v="FRANCISCO E. MUDAD"/>
  </r>
  <r>
    <n v="63"/>
    <x v="21"/>
    <d v="2020-05-18T00:00:00"/>
    <x v="0"/>
    <s v="TU-0123-004"/>
    <s v="TU-0123"/>
    <x v="0"/>
    <x v="0"/>
    <x v="0"/>
    <s v="CITRUSVIL S.A."/>
  </r>
  <r>
    <n v="64"/>
    <x v="21"/>
    <d v="2020-05-21T00:00:00"/>
    <x v="0"/>
    <s v="SA-0017-012"/>
    <s v="SA-0017"/>
    <x v="0"/>
    <x v="1"/>
    <x v="0"/>
    <s v="LA MORALEJA"/>
  </r>
  <r>
    <n v="65"/>
    <x v="22"/>
    <d v="2020-05-18T00:00:00"/>
    <x v="0"/>
    <s v="TU-0057-004"/>
    <s v="TU-0057"/>
    <x v="0"/>
    <x v="0"/>
    <x v="0"/>
    <s v="CITRUSVIL S.A."/>
  </r>
  <r>
    <n v="66"/>
    <x v="22"/>
    <d v="2020-05-18T00:00:00"/>
    <x v="0"/>
    <s v="TU-0259-023"/>
    <s v="TU-0259"/>
    <x v="0"/>
    <x v="0"/>
    <x v="0"/>
    <s v="LATIN LEMON S.A."/>
  </r>
  <r>
    <n v="68"/>
    <x v="23"/>
    <d v="2020-05-19T00:00:00"/>
    <x v="0"/>
    <s v="TU-0184-002"/>
    <s v="TU-0184"/>
    <x v="0"/>
    <x v="0"/>
    <x v="0"/>
    <s v="HIJOS DE NORBERTO ESPARZA S.R.L."/>
  </r>
  <r>
    <n v="69"/>
    <x v="23"/>
    <d v="2020-05-19T00:00:00"/>
    <x v="0"/>
    <s v="TU-0184-007"/>
    <s v="TU-0184"/>
    <x v="0"/>
    <x v="0"/>
    <x v="0"/>
    <s v="HIJOS DE NORBERTO ESPARZA S.R.L."/>
  </r>
  <r>
    <n v="70"/>
    <x v="23"/>
    <d v="2020-05-19T00:00:00"/>
    <x v="0"/>
    <s v="TU-0184-003"/>
    <s v="TU-0184"/>
    <x v="0"/>
    <x v="0"/>
    <x v="0"/>
    <s v="HIJOS DE NORBERTO ESPARZA S.R.L."/>
  </r>
  <r>
    <n v="71"/>
    <x v="23"/>
    <d v="2020-05-19T00:00:00"/>
    <x v="0"/>
    <s v="TU-0184-006"/>
    <s v="TU-0184"/>
    <x v="0"/>
    <x v="0"/>
    <x v="0"/>
    <s v="HIJOS DE NORBERTO ESPARZA S.R.L."/>
  </r>
  <r>
    <n v="72"/>
    <x v="23"/>
    <d v="2020-05-19T00:00:00"/>
    <x v="0"/>
    <s v="TU-0184-008"/>
    <s v="TU-0184"/>
    <x v="0"/>
    <x v="0"/>
    <x v="0"/>
    <s v="HIJOS DE NORBERTO ESPARZA S.R.L."/>
  </r>
  <r>
    <n v="74"/>
    <x v="24"/>
    <s v="SIN INHABILITACION"/>
    <x v="1"/>
    <s v="TU-0077-003"/>
    <s v="TU-0077"/>
    <x v="0"/>
    <x v="1"/>
    <x v="0"/>
    <s v="JUAN CARLOS CALCERANO"/>
  </r>
  <r>
    <n v="75"/>
    <x v="24"/>
    <s v="SIN INHABILITACION"/>
    <x v="1"/>
    <s v="TU-0472-005"/>
    <s v="TU-0472"/>
    <x v="0"/>
    <x v="1"/>
    <x v="0"/>
    <s v="LATIN LEMON S.A."/>
  </r>
  <r>
    <n v="76"/>
    <x v="24"/>
    <s v="SIN INHABILITACION"/>
    <x v="1"/>
    <s v="TU-0182-009"/>
    <s v="TU-0182"/>
    <x v="0"/>
    <x v="1"/>
    <x v="0"/>
    <s v="ARGENTILEMON"/>
  </r>
  <r>
    <n v="77"/>
    <x v="24"/>
    <s v="SIN INHABILITACION"/>
    <x v="1"/>
    <s v="TU-0016-003"/>
    <s v="TU-0016"/>
    <x v="0"/>
    <x v="1"/>
    <x v="0"/>
    <s v="LATIN LEMON S.A."/>
  </r>
  <r>
    <n v="78"/>
    <x v="25"/>
    <d v="2020-05-20T00:00:00"/>
    <x v="0"/>
    <s v="TU-0356-002"/>
    <s v="TU-0356"/>
    <x v="0"/>
    <x v="0"/>
    <x v="0"/>
    <s v="S.A. VERACRUZ"/>
  </r>
  <r>
    <n v="79"/>
    <x v="25"/>
    <s v="SIN INHABILITACION"/>
    <x v="1"/>
    <s v="TU-0409-009"/>
    <s v="TU-0409"/>
    <x v="0"/>
    <x v="1"/>
    <x v="0"/>
    <s v="LAPACHO AMARILLO S.A."/>
  </r>
  <r>
    <n v="80"/>
    <x v="25"/>
    <d v="2020-05-20T00:00:00"/>
    <x v="0"/>
    <s v="TU-0034-028"/>
    <s v="TU-0034"/>
    <x v="0"/>
    <x v="1"/>
    <x v="0"/>
    <s v="CITRUSVIL"/>
  </r>
  <r>
    <n v="81"/>
    <x v="25"/>
    <d v="2020-05-21T00:00:00"/>
    <x v="0"/>
    <s v="TU-0023-009"/>
    <s v="TU-0023"/>
    <x v="0"/>
    <x v="0"/>
    <x v="0"/>
    <s v="CITRUSVIL"/>
  </r>
  <r>
    <n v="82"/>
    <x v="25"/>
    <s v="SIN INHABILITACION"/>
    <x v="1"/>
    <s v="TU-0276-006"/>
    <s v="TU-0276"/>
    <x v="0"/>
    <x v="1"/>
    <x v="0"/>
    <s v="ARBOLAR"/>
  </r>
  <r>
    <n v="88"/>
    <x v="26"/>
    <d v="2020-05-22T00:00:00"/>
    <x v="1"/>
    <s v="TU-0128-006"/>
    <s v="TU-0128"/>
    <x v="0"/>
    <x v="0"/>
    <x v="0"/>
    <s v="IGNACIO TRAPANI"/>
  </r>
  <r>
    <n v="89"/>
    <x v="26"/>
    <d v="2020-05-22T00:00:00"/>
    <x v="1"/>
    <s v="JU-0026-010"/>
    <s v="JU-0026"/>
    <x v="0"/>
    <x v="0"/>
    <x v="0"/>
    <s v="LEDESMA"/>
  </r>
  <r>
    <n v="90"/>
    <x v="26"/>
    <d v="2020-05-26T00:00:00"/>
    <x v="0"/>
    <s v="TU-0349-002"/>
    <s v="TU-0349"/>
    <x v="0"/>
    <x v="0"/>
    <x v="0"/>
    <s v="LATIN LEMON S.A."/>
  </r>
  <r>
    <n v="97"/>
    <x v="27"/>
    <d v="2020-05-26T00:00:00"/>
    <x v="0"/>
    <s v="TU-0183-001"/>
    <s v="TU-0183"/>
    <x v="0"/>
    <x v="0"/>
    <x v="0"/>
    <s v="HIJOS DE NORBERTO ESPARZA S.R.L."/>
  </r>
  <r>
    <n v="98"/>
    <x v="27"/>
    <d v="2020-05-26T00:00:00"/>
    <x v="0"/>
    <s v="TU-0360-001"/>
    <s v="TU-0360"/>
    <x v="0"/>
    <x v="0"/>
    <x v="0"/>
    <s v="HERECITRUS"/>
  </r>
  <r>
    <n v="99"/>
    <x v="27"/>
    <s v="SIN INHABILITACION"/>
    <x v="1"/>
    <s v="TU-0584-001"/>
    <s v="TU-0584"/>
    <x v="0"/>
    <x v="1"/>
    <x v="0"/>
    <s v="VICENTE TRAPANI"/>
  </r>
  <r>
    <n v="103"/>
    <x v="28"/>
    <d v="2020-05-27T00:00:00"/>
    <x v="1"/>
    <s v="TU-0262-020"/>
    <s v="TU-0262"/>
    <x v="0"/>
    <x v="1"/>
    <x v="0"/>
    <s v="S.A. VERACRUZ"/>
  </r>
  <r>
    <n v="104"/>
    <x v="28"/>
    <d v="2020-05-27T00:00:00"/>
    <x v="1"/>
    <s v="JU-0026-013"/>
    <s v="JU-0026"/>
    <x v="0"/>
    <x v="0"/>
    <x v="0"/>
    <s v="LEDESMA"/>
  </r>
  <r>
    <n v="105"/>
    <x v="28"/>
    <d v="2020-05-27T00:00:00"/>
    <x v="1"/>
    <s v="TU-0034-047"/>
    <s v="TU-0034"/>
    <x v="0"/>
    <x v="0"/>
    <x v="0"/>
    <s v="CITRUSVIL"/>
  </r>
  <r>
    <n v="107"/>
    <x v="29"/>
    <d v="2020-05-28T00:00:00"/>
    <x v="1"/>
    <s v="TU-0201-007"/>
    <s v="TU-0201"/>
    <x v="0"/>
    <x v="0"/>
    <x v="0"/>
    <s v="NIDEPLUS"/>
  </r>
  <r>
    <n v="108"/>
    <x v="29"/>
    <d v="2020-05-28T00:00:00"/>
    <x v="1"/>
    <s v="TU-0450-008"/>
    <s v="TU-0450"/>
    <x v="0"/>
    <x v="0"/>
    <x v="0"/>
    <s v="CITRUSVIL"/>
  </r>
  <r>
    <n v="109"/>
    <x v="29"/>
    <d v="2020-05-28T00:00:00"/>
    <x v="1"/>
    <s v="TU-0353-013"/>
    <s v="TU-0353"/>
    <x v="0"/>
    <x v="1"/>
    <x v="0"/>
    <s v="S.A. VERACRUZ"/>
  </r>
  <r>
    <n v="110"/>
    <x v="30"/>
    <s v="SIN INHABILITACION"/>
    <x v="1"/>
    <s v="TU-0436-003"/>
    <s v="TU-0436"/>
    <x v="0"/>
    <x v="1"/>
    <x v="0"/>
    <s v="CITROMAX"/>
  </r>
  <r>
    <n v="111"/>
    <x v="30"/>
    <s v="SIN INHABILITACION"/>
    <x v="1"/>
    <s v="TU-0163-001"/>
    <s v="TU-0163"/>
    <x v="0"/>
    <x v="1"/>
    <x v="0"/>
    <s v="LATIN LEMON S.A."/>
  </r>
  <r>
    <n v="112"/>
    <x v="31"/>
    <d v="2020-05-31T00:00:00"/>
    <x v="0"/>
    <s v="TU-0185-008"/>
    <s v="TU-0185"/>
    <x v="0"/>
    <x v="0"/>
    <x v="0"/>
    <s v="SAGITARIO EXPORTACIONES"/>
  </r>
  <r>
    <n v="113"/>
    <x v="31"/>
    <d v="2020-05-31T00:00:00"/>
    <x v="0"/>
    <s v="TU-063-002"/>
    <s v="TU-0063"/>
    <x v="0"/>
    <x v="0"/>
    <x v="0"/>
    <s v=" "/>
  </r>
  <r>
    <n v="114"/>
    <x v="32"/>
    <d v="2020-05-29T00:00:00"/>
    <x v="0"/>
    <s v="JU-0026-007"/>
    <s v="JU-0026"/>
    <x v="0"/>
    <x v="0"/>
    <x v="0"/>
    <s v="LEDESMA S.A.A.I."/>
  </r>
  <r>
    <n v="115"/>
    <x v="32"/>
    <s v="SIN INHABILITACION"/>
    <x v="1"/>
    <s v="TU-0486-002"/>
    <s v="TU-0486"/>
    <x v="0"/>
    <x v="1"/>
    <x v="0"/>
    <s v="CITROMAX SACI"/>
  </r>
  <r>
    <n v="116"/>
    <x v="32"/>
    <d v="2020-05-29T00:00:00"/>
    <x v="0"/>
    <s v="TU-0342-018"/>
    <s v="TU-0342"/>
    <x v="0"/>
    <x v="0"/>
    <x v="0"/>
    <s v="CITRUSVIL"/>
  </r>
  <r>
    <n v="117"/>
    <x v="32"/>
    <d v="2020-05-29T00:00:00"/>
    <x v="0"/>
    <s v="TU-0584-007"/>
    <s v="TU-0584"/>
    <x v="0"/>
    <x v="0"/>
    <x v="0"/>
    <s v="VICENTE TRÁPANI S.A."/>
  </r>
  <r>
    <n v="118"/>
    <x v="32"/>
    <d v="2020-05-29T00:00:00"/>
    <x v="0"/>
    <s v="TU-0544-004"/>
    <s v="TU-0544"/>
    <x v="0"/>
    <x v="0"/>
    <x v="0"/>
    <s v="SAGITARIO EXPORTACIONES"/>
  </r>
  <r>
    <n v="119"/>
    <x v="32"/>
    <d v="2020-06-01T00:00:00"/>
    <x v="0"/>
    <s v="TU-0561-002"/>
    <s v="TU-0561"/>
    <x v="0"/>
    <x v="1"/>
    <x v="0"/>
    <s v="LATIN LEMON S.A."/>
  </r>
  <r>
    <n v="120"/>
    <x v="33"/>
    <d v="2020-06-02T00:00:00"/>
    <x v="0"/>
    <s v="TU-0034-046"/>
    <s v="TU-0034"/>
    <x v="0"/>
    <x v="0"/>
    <x v="0"/>
    <s v="CITRUSVIL"/>
  </r>
  <r>
    <n v="121"/>
    <x v="33"/>
    <s v="SIN INHABILITACION"/>
    <x v="1"/>
    <s v="TU-0305-003"/>
    <s v="TU-0305"/>
    <x v="0"/>
    <x v="1"/>
    <x v="0"/>
    <s v="SAGITARIO EXPORTACIONES"/>
  </r>
  <r>
    <n v="122"/>
    <x v="33"/>
    <s v="SIN INHABILITACION"/>
    <x v="1"/>
    <s v="TU-0160-002"/>
    <s v="TU-0160"/>
    <x v="0"/>
    <x v="1"/>
    <x v="0"/>
    <s v="LATIN LEMON S.A."/>
  </r>
  <r>
    <n v="124"/>
    <x v="34"/>
    <d v="2020-06-02T00:00:00"/>
    <x v="0"/>
    <s v="TU-0085-001"/>
    <s v="TU-0085"/>
    <x v="0"/>
    <x v="0"/>
    <x v="0"/>
    <s v="JUAN CARLOS CALCERANO"/>
  </r>
  <r>
    <n v="125"/>
    <x v="34"/>
    <d v="2020-06-02T00:00:00"/>
    <x v="0"/>
    <s v="TU-0040-010"/>
    <s v="TU-0040"/>
    <x v="0"/>
    <x v="0"/>
    <x v="0"/>
    <s v="CITRUSVIL"/>
  </r>
  <r>
    <n v="126"/>
    <x v="34"/>
    <d v="2020-06-03T00:00:00"/>
    <x v="0"/>
    <s v="TU-0035-26"/>
    <s v="TU-0035"/>
    <x v="0"/>
    <x v="0"/>
    <x v="0"/>
    <s v="CITRUSVIL"/>
  </r>
  <r>
    <n v="129"/>
    <x v="35"/>
    <d v="2020-06-04T00:00:00"/>
    <x v="0"/>
    <s v="TU-0393-010"/>
    <s v="TU-0393"/>
    <x v="0"/>
    <x v="1"/>
    <x v="0"/>
    <s v="MARTINEZ NAVARRO"/>
  </r>
  <r>
    <n v="130"/>
    <x v="35"/>
    <s v="SIN INHABILITACION"/>
    <x v="1"/>
    <s v="TU-0266-010"/>
    <s v="TU-0266"/>
    <x v="0"/>
    <x v="1"/>
    <x v="0"/>
    <s v="CITROMAX SACI"/>
  </r>
  <r>
    <n v="131"/>
    <x v="35"/>
    <d v="2020-06-01T00:00:00"/>
    <x v="0"/>
    <s v="TU-0040-009"/>
    <s v="TU-0040"/>
    <x v="0"/>
    <x v="0"/>
    <x v="0"/>
    <s v="CITRUSVIL"/>
  </r>
  <r>
    <n v="132"/>
    <x v="35"/>
    <d v="2020-06-04T00:00:00"/>
    <x v="0"/>
    <s v="TU-0160-001"/>
    <s v="TU-0160"/>
    <x v="0"/>
    <x v="1"/>
    <x v="0"/>
    <s v="LATIN LEMON S.A."/>
  </r>
  <r>
    <n v="133"/>
    <x v="35"/>
    <s v="SIN INHABILITACION"/>
    <x v="1"/>
    <s v="TU-0563-004"/>
    <s v="TU-0563"/>
    <x v="0"/>
    <x v="1"/>
    <x v="0"/>
    <s v="SAN MIGUEL"/>
  </r>
  <r>
    <n v="136"/>
    <x v="36"/>
    <d v="2020-06-04T00:00:00"/>
    <x v="0"/>
    <s v="TU-0354-020"/>
    <s v="TU-0354"/>
    <x v="0"/>
    <x v="1"/>
    <x v="0"/>
    <s v="VERACRUZ"/>
  </r>
  <r>
    <n v="137"/>
    <x v="36"/>
    <d v="2020-06-04T00:00:00"/>
    <x v="0"/>
    <s v="TU-0563-005"/>
    <s v="TU-0563"/>
    <x v="0"/>
    <x v="1"/>
    <x v="0"/>
    <s v="LATIN LEMON S.A."/>
  </r>
  <r>
    <n v="140"/>
    <x v="37"/>
    <s v="a la espera de lab"/>
    <x v="1"/>
    <s v="TU-0559-006"/>
    <s v="TU-0559"/>
    <x v="0"/>
    <x v="0"/>
    <x v="0"/>
    <s v="LATIN LEMON S.A."/>
  </r>
  <r>
    <n v="141"/>
    <x v="37"/>
    <d v="2020-06-07T00:00:00"/>
    <x v="0"/>
    <s v="TU-0430-007"/>
    <s v="TU-0430"/>
    <x v="0"/>
    <x v="0"/>
    <x v="0"/>
    <s v="CITRUSVIL"/>
  </r>
  <r>
    <n v="142"/>
    <x v="37"/>
    <d v="2020-06-07T00:00:00"/>
    <x v="0"/>
    <s v="TU-0062-011"/>
    <s v="TU-0062"/>
    <x v="0"/>
    <x v="0"/>
    <x v="0"/>
    <s v="VICENTE TRÁPANI S.A."/>
  </r>
  <r>
    <n v="143"/>
    <x v="37"/>
    <s v="SIN INHABILITACION"/>
    <x v="1"/>
    <s v="TU-0199-010"/>
    <s v="TU-0199"/>
    <x v="0"/>
    <x v="1"/>
    <x v="0"/>
    <s v="SAGITARIO EXPORTACIONES"/>
  </r>
  <r>
    <n v="144"/>
    <x v="37"/>
    <d v="2020-06-07T00:00:00"/>
    <x v="0"/>
    <s v="TU-0024-037"/>
    <s v="TU-0024"/>
    <x v="0"/>
    <x v="1"/>
    <x v="0"/>
    <s v="CITRUSVIL"/>
  </r>
  <r>
    <n v="145"/>
    <x v="37"/>
    <d v="2020-06-07T00:00:00"/>
    <x v="0"/>
    <s v="TU-0036-029"/>
    <s v="TU-0036"/>
    <x v="0"/>
    <x v="0"/>
    <x v="0"/>
    <s v="CITRUSVIL"/>
  </r>
  <r>
    <n v="148"/>
    <x v="38"/>
    <d v="2020-06-08T00:00:00"/>
    <x v="1"/>
    <s v="TU-0023-014"/>
    <s v="TU-0023"/>
    <x v="0"/>
    <x v="0"/>
    <x v="0"/>
    <s v="CITRUSVIL"/>
  </r>
  <r>
    <n v="149"/>
    <x v="38"/>
    <s v="SIN INHABILITACION"/>
    <x v="1"/>
    <s v="TU-0429-005"/>
    <s v="TU-0429"/>
    <x v="0"/>
    <x v="1"/>
    <x v="0"/>
    <s v="CITRUSVIL"/>
  </r>
  <r>
    <n v="150"/>
    <x v="38"/>
    <d v="2020-06-08T00:00:00"/>
    <x v="0"/>
    <s v="TU-0063-004"/>
    <s v="TU-0063"/>
    <x v="0"/>
    <x v="0"/>
    <x v="0"/>
    <s v="VICENTE TRÁPANI S.A."/>
  </r>
  <r>
    <n v="151"/>
    <x v="38"/>
    <d v="2020-06-08T00:00:00"/>
    <x v="0"/>
    <s v="TU-0036-027"/>
    <s v="TU-0036"/>
    <x v="0"/>
    <x v="0"/>
    <x v="0"/>
    <s v="CITRUSVIL"/>
  </r>
  <r>
    <n v="153"/>
    <x v="39"/>
    <d v="2020-06-09T00:00:00"/>
    <x v="0"/>
    <s v="TU-0160-011"/>
    <s v="TU-0160"/>
    <x v="0"/>
    <x v="0"/>
    <x v="0"/>
    <s v="LATIN LEMON "/>
  </r>
  <r>
    <n v="154"/>
    <x v="39"/>
    <d v="2020-06-09T00:00:00"/>
    <x v="0"/>
    <s v="TU-0410-005"/>
    <s v="TU-0410"/>
    <x v="0"/>
    <x v="0"/>
    <x v="0"/>
    <s v="NIDEPLUS"/>
  </r>
  <r>
    <n v="155"/>
    <x v="39"/>
    <d v="2020-06-09T00:00:00"/>
    <x v="0"/>
    <s v="TU-0180-001"/>
    <s v="TU-0180"/>
    <x v="0"/>
    <x v="0"/>
    <x v="0"/>
    <s v="JUAN CARLOS CALCERANO "/>
  </r>
  <r>
    <n v="156"/>
    <x v="39"/>
    <s v="SIN INHABILITACION"/>
    <x v="1"/>
    <s v="TU-0327-007"/>
    <s v="TU-0327"/>
    <x v="0"/>
    <x v="1"/>
    <x v="0"/>
    <s v="AGROPECUARIA EL SAUCE "/>
  </r>
  <r>
    <n v="157"/>
    <x v="40"/>
    <d v="2020-06-10T00:00:00"/>
    <x v="0"/>
    <s v="TU-0563-006"/>
    <s v="TU-0563"/>
    <x v="0"/>
    <x v="1"/>
    <x v="0"/>
    <s v="LATIN LEMON "/>
  </r>
  <r>
    <n v="159"/>
    <x v="41"/>
    <d v="2020-06-10T00:00:00"/>
    <x v="0"/>
    <s v="TU-0272-004"/>
    <s v="TU-0272"/>
    <x v="0"/>
    <x v="0"/>
    <x v="0"/>
    <s v="JUAN CARLOS CALCERANO "/>
  </r>
  <r>
    <n v="160"/>
    <x v="41"/>
    <s v="SIN INHABILITACION"/>
    <x v="1"/>
    <s v="TU-0253-002"/>
    <s v="TU-0235"/>
    <x v="0"/>
    <x v="1"/>
    <x v="0"/>
    <s v="JUAN CARLOS CALCERANO "/>
  </r>
  <r>
    <n v="161"/>
    <x v="42"/>
    <d v="2020-06-12T00:00:00"/>
    <x v="0"/>
    <s v="TU-0308-003"/>
    <s v="TU-0308"/>
    <x v="0"/>
    <x v="1"/>
    <x v="0"/>
    <s v="LATIN LEMON "/>
  </r>
  <r>
    <n v="162"/>
    <x v="43"/>
    <d v="2020-06-12T00:00:00"/>
    <x v="0"/>
    <s v="TU-0410-001"/>
    <s v="TU-0410"/>
    <x v="0"/>
    <x v="0"/>
    <x v="0"/>
    <s v="MARTINEZ NAVARRO"/>
  </r>
  <r>
    <n v="163"/>
    <x v="43"/>
    <d v="2020-06-12T00:00:00"/>
    <x v="0"/>
    <s v="TU-0200-010"/>
    <s v="TU-0200"/>
    <x v="0"/>
    <x v="0"/>
    <x v="0"/>
    <s v="MARTINEZ NAVARRO"/>
  </r>
  <r>
    <n v="164"/>
    <x v="43"/>
    <d v="2020-06-12T00:00:00"/>
    <x v="0"/>
    <s v="TU-0354-027"/>
    <s v="TU-0354"/>
    <x v="0"/>
    <x v="1"/>
    <x v="0"/>
    <s v="VERACRUZ"/>
  </r>
  <r>
    <n v="167"/>
    <x v="44"/>
    <d v="2020-06-16T00:00:00"/>
    <x v="0"/>
    <s v="TU-0036-026"/>
    <s v="TU-0036"/>
    <x v="0"/>
    <x v="1"/>
    <x v="0"/>
    <s v="CITRUSVIL - ischilon"/>
  </r>
  <r>
    <n v="168"/>
    <x v="44"/>
    <s v="SIN INHABILITACION"/>
    <x v="1"/>
    <s v="TU-0332-013"/>
    <s v="TU-0332"/>
    <x v="0"/>
    <x v="1"/>
    <x v="0"/>
    <s v="TRAPANI HNOS"/>
  </r>
  <r>
    <n v="170"/>
    <x v="45"/>
    <d v="2020-06-18T00:00:00"/>
    <x v="0"/>
    <s v="TU-0020-042"/>
    <s v="TU-0020"/>
    <x v="0"/>
    <x v="0"/>
    <x v="0"/>
    <s v="VICENTE TRÁPANI S.A."/>
  </r>
  <r>
    <n v="171"/>
    <x v="45"/>
    <s v="SIN INHABILITACION"/>
    <x v="1"/>
    <s v="TU-0177-020"/>
    <s v="TU-0177"/>
    <x v="0"/>
    <x v="1"/>
    <x v="0"/>
    <s v="AGOALIANZA"/>
  </r>
  <r>
    <n v="172"/>
    <x v="45"/>
    <s v="SIN INHABILITACION"/>
    <x v="1"/>
    <s v="TU-0610-002"/>
    <s v="TU-0610"/>
    <x v="0"/>
    <x v="1"/>
    <x v="0"/>
    <s v="ACEQUIONES"/>
  </r>
  <r>
    <n v="173"/>
    <x v="45"/>
    <d v="2020-06-18T00:00:00"/>
    <x v="0"/>
    <s v="TU-0199-002"/>
    <s v="TU-0199"/>
    <x v="0"/>
    <x v="0"/>
    <x v="0"/>
    <s v="SAGITARIO EXPORTACIONES"/>
  </r>
  <r>
    <n v="174"/>
    <x v="45"/>
    <s v="SIN INHABILITACION"/>
    <x v="1"/>
    <s v="TU-0172-009"/>
    <s v="TU-0172"/>
    <x v="0"/>
    <x v="1"/>
    <x v="0"/>
    <s v="LATIN LEMON "/>
  </r>
  <r>
    <n v="176"/>
    <x v="46"/>
    <d v="2020-06-18T00:00:00"/>
    <x v="0"/>
    <s v="TU-0170-005"/>
    <s v="TU-0170"/>
    <x v="0"/>
    <x v="0"/>
    <x v="0"/>
    <s v="LATIN LEMON "/>
  </r>
  <r>
    <n v="177"/>
    <x v="46"/>
    <d v="2020-06-18T00:00:00"/>
    <x v="0"/>
    <s v="TU-0170-005"/>
    <s v="TU-0170"/>
    <x v="0"/>
    <x v="1"/>
    <x v="0"/>
    <s v="LATIN LEMON "/>
  </r>
  <r>
    <n v="178"/>
    <x v="47"/>
    <d v="2020-06-19T00:00:00"/>
    <x v="0"/>
    <s v="TU-0431-006"/>
    <s v="TU-0431"/>
    <x v="0"/>
    <x v="1"/>
    <x v="0"/>
    <s v="JABULISA"/>
  </r>
  <r>
    <n v="179"/>
    <x v="48"/>
    <d v="2020-06-19T00:00:00"/>
    <x v="1"/>
    <s v="TU-0393-005"/>
    <s v="TU-0393"/>
    <x v="0"/>
    <x v="0"/>
    <x v="0"/>
    <s v="MARTINEZ NAVARRO"/>
  </r>
  <r>
    <n v="180"/>
    <x v="48"/>
    <d v="2020-06-19T00:00:00"/>
    <x v="1"/>
    <s v="TU-0393-005"/>
    <s v="TU-0393"/>
    <x v="0"/>
    <x v="1"/>
    <x v="0"/>
    <s v="MARTINEZ NAVARRO"/>
  </r>
  <r>
    <n v="181"/>
    <x v="48"/>
    <d v="2020-06-19T00:00:00"/>
    <x v="0"/>
    <s v="TU-0024-041"/>
    <s v="TU-0020"/>
    <x v="0"/>
    <x v="0"/>
    <x v="0"/>
    <s v="CITRUSVIL"/>
  </r>
  <r>
    <n v="182"/>
    <x v="48"/>
    <d v="2020-06-19T00:00:00"/>
    <x v="0"/>
    <s v="TU-0034-057"/>
    <s v="TU-0034"/>
    <x v="0"/>
    <x v="0"/>
    <x v="0"/>
    <s v="CITRUSVIL"/>
  </r>
  <r>
    <n v="183"/>
    <x v="48"/>
    <d v="2020-06-19T00:00:00"/>
    <x v="0"/>
    <s v="TU-0033-007"/>
    <s v="TU-0033"/>
    <x v="0"/>
    <x v="0"/>
    <x v="0"/>
    <s v="CITRUSVIL"/>
  </r>
  <r>
    <n v="184"/>
    <x v="48"/>
    <d v="2020-06-19T00:00:00"/>
    <x v="0"/>
    <s v="TU-0048-010"/>
    <s v="TU-0048"/>
    <x v="0"/>
    <x v="0"/>
    <x v="0"/>
    <s v="CITRUSVIL"/>
  </r>
  <r>
    <n v="186"/>
    <x v="49"/>
    <d v="2020-06-23T00:00:00"/>
    <x v="0"/>
    <s v="TU-0045-001"/>
    <s v="TU-0045"/>
    <x v="0"/>
    <x v="0"/>
    <x v="0"/>
    <s v="CITROMAX S.A.C.I"/>
  </r>
  <r>
    <n v="187"/>
    <x v="49"/>
    <d v="2020-06-23T00:00:00"/>
    <x v="0"/>
    <s v="TU-0034-048"/>
    <s v="TU-0034"/>
    <x v="0"/>
    <x v="0"/>
    <x v="0"/>
    <s v="CITRUSVIL"/>
  </r>
  <r>
    <n v="188"/>
    <x v="49"/>
    <d v="2020-06-23T00:00:00"/>
    <x v="0"/>
    <s v="TU-0034-049"/>
    <s v="TU-0034"/>
    <x v="0"/>
    <x v="0"/>
    <x v="0"/>
    <s v="CITRUSVIL"/>
  </r>
  <r>
    <m/>
    <x v="49"/>
    <d v="2020-06-23T00:00:00"/>
    <x v="0"/>
    <s v="TU-0023-015"/>
    <s v="TU-0023"/>
    <x v="0"/>
    <x v="0"/>
    <x v="0"/>
    <s v="CITRUSVIL"/>
  </r>
  <r>
    <n v="189"/>
    <x v="49"/>
    <d v="2020-06-23T00:00:00"/>
    <x v="0"/>
    <s v="TU0048-001"/>
    <s v="TU-0048"/>
    <x v="0"/>
    <x v="0"/>
    <x v="0"/>
    <s v="CITRUSVIL"/>
  </r>
  <r>
    <m/>
    <x v="49"/>
    <d v="2020-06-23T00:00:00"/>
    <x v="0"/>
    <s v="TU-0033-001"/>
    <s v="TU-0033"/>
    <x v="0"/>
    <x v="0"/>
    <x v="0"/>
    <s v="CITRUSVIL"/>
  </r>
  <r>
    <n v="190"/>
    <x v="49"/>
    <d v="2020-06-23T00:00:00"/>
    <x v="0"/>
    <s v="TU0034-044"/>
    <s v="TU-0034"/>
    <x v="0"/>
    <x v="0"/>
    <x v="0"/>
    <s v="CITRUSVIL"/>
  </r>
  <r>
    <n v="191"/>
    <x v="49"/>
    <d v="2020-06-23T00:00:00"/>
    <x v="0"/>
    <s v="TU-0036-024"/>
    <s v="TU-0036"/>
    <x v="0"/>
    <x v="0"/>
    <x v="0"/>
    <s v="CITRUSVIL"/>
  </r>
  <r>
    <n v="192"/>
    <x v="49"/>
    <d v="2020-06-23T00:00:00"/>
    <x v="0"/>
    <s v="TU-0024-039"/>
    <s v="TU-0024"/>
    <x v="0"/>
    <x v="0"/>
    <x v="0"/>
    <s v="CITRUSVIL"/>
  </r>
  <r>
    <n v="193"/>
    <x v="49"/>
    <d v="2020-06-23T00:00:00"/>
    <x v="0"/>
    <s v="TU-0024-039"/>
    <s v="TU-0024"/>
    <x v="0"/>
    <x v="1"/>
    <x v="0"/>
    <s v="CITRUSVIL"/>
  </r>
  <r>
    <n v="196"/>
    <x v="50"/>
    <d v="2020-06-24T00:00:00"/>
    <x v="0"/>
    <s v="TU-0449-011"/>
    <s v="TU-0449"/>
    <x v="0"/>
    <x v="0"/>
    <x v="0"/>
    <s v="SAGITARIO EXPORTACIONES"/>
  </r>
  <r>
    <n v="197"/>
    <x v="50"/>
    <d v="2020-06-23T00:00:00"/>
    <x v="0"/>
    <s v="TU-0042-002"/>
    <s v="TU-0042"/>
    <x v="0"/>
    <x v="0"/>
    <x v="0"/>
    <s v="CITRUSVIL "/>
  </r>
  <r>
    <n v="198"/>
    <x v="50"/>
    <d v="2020-06-23T00:00:00"/>
    <x v="0"/>
    <s v="TU-0024-042"/>
    <s v="TU-0024"/>
    <x v="0"/>
    <x v="0"/>
    <x v="0"/>
    <s v="CITRUSVIL"/>
  </r>
  <r>
    <n v="199"/>
    <x v="50"/>
    <d v="2020-06-23T00:00:00"/>
    <x v="0"/>
    <s v="TU-0034-045"/>
    <s v="TU-0034"/>
    <x v="0"/>
    <x v="0"/>
    <x v="0"/>
    <s v="CITRUSVIL"/>
  </r>
  <r>
    <n v="200"/>
    <x v="50"/>
    <d v="2020-06-23T00:00:00"/>
    <x v="0"/>
    <s v="TU-0038-006"/>
    <s v="TU-0038"/>
    <x v="0"/>
    <x v="0"/>
    <x v="0"/>
    <s v="CITRUSVIL"/>
  </r>
  <r>
    <n v="201"/>
    <x v="50"/>
    <d v="2020-06-23T00:00:00"/>
    <x v="0"/>
    <s v="TU-0032-006"/>
    <s v="TU-0032"/>
    <x v="0"/>
    <x v="0"/>
    <x v="0"/>
    <s v="CITRUSVIL"/>
  </r>
  <r>
    <n v="202"/>
    <x v="50"/>
    <d v="2020-06-23T00:00:00"/>
    <x v="0"/>
    <s v="TU-0056-004"/>
    <s v="TU-0056"/>
    <x v="0"/>
    <x v="0"/>
    <x v="0"/>
    <s v="CITRUSVIL"/>
  </r>
  <r>
    <n v="203"/>
    <x v="50"/>
    <s v="SIN INHABILITACION"/>
    <x v="1"/>
    <s v="TU-0048-008"/>
    <s v="TU-0048"/>
    <x v="0"/>
    <x v="1"/>
    <x v="0"/>
    <s v="CITRUSVIL"/>
  </r>
  <r>
    <m/>
    <x v="50"/>
    <d v="2020-06-24T00:00:00"/>
    <x v="0"/>
    <s v="TU-0315-004"/>
    <s v="TU-0315"/>
    <x v="0"/>
    <x v="0"/>
    <x v="0"/>
    <s v="LIMOZAN S.A."/>
  </r>
  <r>
    <n v="204"/>
    <x v="51"/>
    <d v="2020-06-23T00:00:00"/>
    <x v="0"/>
    <s v="TU-0034-040"/>
    <s v="TU-0034"/>
    <x v="0"/>
    <x v="0"/>
    <x v="0"/>
    <s v="CITRUSVIL"/>
  </r>
  <r>
    <n v="205"/>
    <x v="51"/>
    <s v="SIN INHABILITACION"/>
    <x v="1"/>
    <s v="TU-0481-010"/>
    <s v="TU-0481"/>
    <x v="0"/>
    <x v="1"/>
    <x v="0"/>
    <s v="CITRUSVIL"/>
  </r>
  <r>
    <n v="206"/>
    <x v="51"/>
    <d v="2020-06-23T00:00:00"/>
    <x v="0"/>
    <s v="TU-0042-004"/>
    <s v="TU-0042"/>
    <x v="0"/>
    <x v="0"/>
    <x v="0"/>
    <s v="CITRUSVIL"/>
  </r>
  <r>
    <n v="208"/>
    <x v="52"/>
    <s v="SIN INHABILITACION"/>
    <x v="1"/>
    <s v="TU-0380-013"/>
    <s v="TU-0380"/>
    <x v="0"/>
    <x v="1"/>
    <x v="0"/>
    <s v="CITROMAX S.A.C.I"/>
  </r>
  <r>
    <n v="209"/>
    <x v="52"/>
    <d v="2020-06-25T00:00:00"/>
    <x v="0"/>
    <s v="TU-0380-013"/>
    <s v="TU-0380"/>
    <x v="0"/>
    <x v="0"/>
    <x v="0"/>
    <s v="CITROMAX S.A.C.I"/>
  </r>
  <r>
    <n v="210"/>
    <x v="52"/>
    <s v="SIN INHABILITACION"/>
    <x v="1"/>
    <s v="TU-0365-003"/>
    <s v="TU-0365"/>
    <x v="0"/>
    <x v="1"/>
    <x v="0"/>
    <s v="ARGENTI LEMON S.A."/>
  </r>
  <r>
    <n v="211"/>
    <x v="52"/>
    <s v="SIN INHABILITACION"/>
    <x v="1"/>
    <s v="TU-0046-001"/>
    <s v="TU-0046"/>
    <x v="0"/>
    <x v="1"/>
    <x v="0"/>
    <s v="HIJOS DE NORBERTO ESPARZA"/>
  </r>
  <r>
    <n v="212"/>
    <x v="52"/>
    <d v="2020-06-25T00:00:00"/>
    <x v="0"/>
    <s v="TU-0500-002"/>
    <s v="TU-0500"/>
    <x v="0"/>
    <x v="1"/>
    <x v="0"/>
    <s v="SAGITARIO EXPORTACIONES"/>
  </r>
  <r>
    <m/>
    <x v="53"/>
    <d v="2020-07-02T00:00:00"/>
    <x v="0"/>
    <s v="TU-0185-020"/>
    <s v="TU-0185"/>
    <x v="0"/>
    <x v="0"/>
    <x v="0"/>
    <s v="SAGITARIO EXPORTACIONES"/>
  </r>
  <r>
    <n v="217"/>
    <x v="54"/>
    <s v="SIN INHABILITACION"/>
    <x v="1"/>
    <s v="TU-0566-002"/>
    <s v="TU-0566"/>
    <x v="0"/>
    <x v="1"/>
    <x v="0"/>
    <s v="LATIN LEMON "/>
  </r>
  <r>
    <n v="218"/>
    <x v="54"/>
    <d v="2020-07-02T00:00:00"/>
    <x v="0"/>
    <s v="TU-0448-009"/>
    <s v="TU-0448"/>
    <x v="0"/>
    <x v="0"/>
    <x v="0"/>
    <s v="ACEQUIONES"/>
  </r>
  <r>
    <n v="219"/>
    <x v="54"/>
    <d v="2020-07-02T00:00:00"/>
    <x v="0"/>
    <s v="TU-0298-017"/>
    <s v="TU-0298"/>
    <x v="0"/>
    <x v="1"/>
    <x v="0"/>
    <s v="HERECITRUS"/>
  </r>
  <r>
    <n v="221"/>
    <x v="55"/>
    <d v="2020-07-13T00:00:00"/>
    <x v="0"/>
    <s v="TU-0163-016"/>
    <s v="TU-0163"/>
    <x v="0"/>
    <x v="1"/>
    <x v="0"/>
    <s v="LATIN LEMON "/>
  </r>
  <r>
    <n v="222"/>
    <x v="55"/>
    <s v="SIN INHABILITACION"/>
    <x v="1"/>
    <s v="TU-0164-004"/>
    <s v="TU-0164"/>
    <x v="0"/>
    <x v="1"/>
    <x v="0"/>
    <s v="LATIN LEMON "/>
  </r>
  <r>
    <n v="224"/>
    <x v="56"/>
    <d v="2020-07-14T00:00:00"/>
    <x v="1"/>
    <s v="TU-0035-040"/>
    <s v="TU-0035"/>
    <x v="0"/>
    <x v="1"/>
    <x v="0"/>
    <s v="CITRUSVIL"/>
  </r>
  <r>
    <n v="225"/>
    <x v="57"/>
    <s v="SIN INHABILITACION"/>
    <x v="2"/>
    <s v="JU-0026-005"/>
    <s v="JU-0026"/>
    <x v="1"/>
    <x v="0"/>
    <x v="0"/>
    <s v="LEDESMA "/>
  </r>
  <r>
    <n v="226"/>
    <x v="57"/>
    <s v="SIN INHABILITACION"/>
    <x v="2"/>
    <s v="JU-0026-006"/>
    <s v="JU-0026"/>
    <x v="1"/>
    <x v="0"/>
    <x v="0"/>
    <s v="LEDESMA "/>
  </r>
  <r>
    <n v="227"/>
    <x v="58"/>
    <d v="2020-07-15T00:00:00"/>
    <x v="1"/>
    <s v="SA-0022-008"/>
    <s v="SA-0022"/>
    <x v="1"/>
    <x v="0"/>
    <x v="0"/>
    <s v="HIJOS DE JOSE GOMEZ MARTINEZ"/>
  </r>
  <r>
    <n v="228"/>
    <x v="59"/>
    <d v="2020-07-15T00:00:00"/>
    <x v="1"/>
    <s v="JU-0021-017"/>
    <s v="JU-0021"/>
    <x v="1"/>
    <x v="0"/>
    <x v="0"/>
    <s v="HIJOS DE JOSE GOMEZ MARTINEZ"/>
  </r>
  <r>
    <n v="231"/>
    <x v="60"/>
    <s v="SIN INHABILITACION"/>
    <x v="1"/>
    <s v="JU-0026-005"/>
    <s v="JU-0026"/>
    <x v="1"/>
    <x v="0"/>
    <x v="0"/>
    <s v="LEDESMA "/>
  </r>
  <r>
    <n v="232"/>
    <x v="60"/>
    <d v="2020-07-16T00:00:00"/>
    <x v="0"/>
    <s v="TU-0036-001"/>
    <s v="TU-0036"/>
    <x v="0"/>
    <x v="1"/>
    <x v="0"/>
    <s v="CITRUSVIL "/>
  </r>
  <r>
    <n v="233"/>
    <x v="61"/>
    <d v="2020-07-22T00:00:00"/>
    <x v="0"/>
    <s v="TU-0024-035"/>
    <s v="TU-0024"/>
    <x v="0"/>
    <x v="1"/>
    <x v="0"/>
    <s v="CITRUSVIL "/>
  </r>
  <r>
    <n v="234"/>
    <x v="62"/>
    <d v="2020-07-22T00:00:00"/>
    <x v="0"/>
    <s v="TU-0431-005"/>
    <s v="TU-0431"/>
    <x v="0"/>
    <x v="1"/>
    <x v="0"/>
    <s v="LATIN LEMON "/>
  </r>
  <r>
    <n v="235"/>
    <x v="63"/>
    <d v="2020-07-22T00:00:00"/>
    <x v="1"/>
    <s v="JU-0049-003"/>
    <s v="JU-0049"/>
    <x v="1"/>
    <x v="0"/>
    <x v="0"/>
    <s v="LEDESMA "/>
  </r>
  <r>
    <n v="236"/>
    <x v="64"/>
    <d v="2020-07-23T00:00:00"/>
    <x v="0"/>
    <s v="SA-0022-12"/>
    <s v="SA-0022"/>
    <x v="1"/>
    <x v="0"/>
    <x v="0"/>
    <s v="HIJOS DE JOSE GOMEZ MARTINEZ"/>
  </r>
  <r>
    <n v="237"/>
    <x v="64"/>
    <d v="2020-07-23T00:00:00"/>
    <x v="0"/>
    <s v="TU-0262-040"/>
    <s v="TU-0262"/>
    <x v="0"/>
    <x v="1"/>
    <x v="0"/>
    <s v="S.A. VERACRUZ"/>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5" cacheId="0"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location ref="B17:F22" firstHeaderRow="1" firstDataRow="2" firstDataCol="1" rowPageCount="1" colPageCount="1"/>
  <pivotFields count="10">
    <pivotField showAll="0"/>
    <pivotField axis="axisPage" numFmtId="14" multipleItemSelectionAllowed="1" showAll="0">
      <items count="66">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t="default"/>
      </items>
    </pivotField>
    <pivotField showAll="0"/>
    <pivotField axis="axisCol" dataField="1" showAll="0">
      <items count="4">
        <item n="BLOQ" x="1"/>
        <item n="EVEN" x="2"/>
        <item n="INHAB" x="0"/>
        <item t="default"/>
      </items>
    </pivotField>
    <pivotField showAll="0"/>
    <pivotField showAll="0"/>
    <pivotField showAll="0"/>
    <pivotField axis="axisRow" showAll="0">
      <items count="4">
        <item x="1"/>
        <item n="MANCHA " x="0"/>
        <item x="2"/>
        <item t="default"/>
      </items>
    </pivotField>
    <pivotField showAll="0"/>
    <pivotField showAll="0"/>
  </pivotFields>
  <rowFields count="1">
    <field x="7"/>
  </rowFields>
  <rowItems count="4">
    <i>
      <x/>
    </i>
    <i>
      <x v="1"/>
    </i>
    <i>
      <x v="2"/>
    </i>
    <i t="grand">
      <x/>
    </i>
  </rowItems>
  <colFields count="1">
    <field x="3"/>
  </colFields>
  <colItems count="4">
    <i>
      <x/>
    </i>
    <i>
      <x v="1"/>
    </i>
    <i>
      <x v="2"/>
    </i>
    <i t="grand">
      <x/>
    </i>
  </colItems>
  <pageFields count="1">
    <pageField fld="1" hier="-1"/>
  </pageFields>
  <dataFields count="1">
    <dataField name="Cuenta de SITUACION" fld="3" subtotal="count" baseField="0" baseItem="0"/>
  </dataFields>
  <formats count="15">
    <format dxfId="14">
      <pivotArea dataOnly="0" labelOnly="1" grandCol="1" outline="0" fieldPosition="0"/>
    </format>
    <format dxfId="13">
      <pivotArea dataOnly="0" labelOnly="1" grandCol="1" outline="0" fieldPosition="0"/>
    </format>
    <format dxfId="12">
      <pivotArea dataOnly="0" labelOnly="1" grandCol="1" outline="0" fieldPosition="0"/>
    </format>
    <format dxfId="11">
      <pivotArea dataOnly="0" labelOnly="1" grandCol="1" outline="0" fieldPosition="0"/>
    </format>
    <format dxfId="10">
      <pivotArea outline="0" collapsedLevelsAreSubtotals="1" fieldPosition="0"/>
    </format>
    <format dxfId="9">
      <pivotArea dataOnly="0" labelOnly="1" fieldPosition="0">
        <references count="1">
          <reference field="3" count="0"/>
        </references>
      </pivotArea>
    </format>
    <format dxfId="8">
      <pivotArea dataOnly="0" labelOnly="1" grandCol="1" outline="0" fieldPosition="0"/>
    </format>
    <format dxfId="7">
      <pivotArea outline="0" collapsedLevelsAreSubtotals="1" fieldPosition="0"/>
    </format>
    <format dxfId="6">
      <pivotArea dataOnly="0" labelOnly="1" fieldPosition="0">
        <references count="1">
          <reference field="3" count="0"/>
        </references>
      </pivotArea>
    </format>
    <format dxfId="5">
      <pivotArea dataOnly="0" labelOnly="1" grandCol="1" outline="0" fieldPosition="0"/>
    </format>
    <format dxfId="4">
      <pivotArea type="all" dataOnly="0" outline="0" fieldPosition="0"/>
    </format>
    <format dxfId="3">
      <pivotArea grandCol="1" outline="0" collapsedLevelsAreSubtotals="1" fieldPosition="0"/>
    </format>
    <format dxfId="2">
      <pivotArea dataOnly="0" labelOnly="1" grandCol="1" outline="0" fieldPosition="0"/>
    </format>
    <format dxfId="1">
      <pivotArea collapsedLevelsAreSubtotals="1" fieldPosition="0">
        <references count="2">
          <reference field="3" count="1" selected="0">
            <x v="2"/>
          </reference>
          <reference field="7" count="1">
            <x v="1"/>
          </reference>
        </references>
      </pivotArea>
    </format>
    <format dxfId="0">
      <pivotArea dataOnly="0" labelOnly="1" fieldPosition="0">
        <references count="1">
          <reference field="7" count="1">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B4:M78"/>
  <sheetViews>
    <sheetView showGridLines="0" zoomScale="80" zoomScaleNormal="80" workbookViewId="0">
      <selection activeCell="I17" sqref="I17"/>
    </sheetView>
  </sheetViews>
  <sheetFormatPr baseColWidth="10" defaultRowHeight="18.75" x14ac:dyDescent="0.3"/>
  <cols>
    <col min="1" max="1" width="3.28515625" customWidth="1"/>
    <col min="2" max="2" width="34.85546875" style="5" customWidth="1"/>
    <col min="3" max="3" width="19.42578125" style="5" customWidth="1"/>
    <col min="4" max="5" width="16.85546875" style="5" customWidth="1"/>
    <col min="6" max="6" width="18.28515625" style="5" customWidth="1"/>
    <col min="7" max="7" width="18.85546875" style="5" customWidth="1"/>
    <col min="8" max="8" width="15.28515625" style="5" bestFit="1" customWidth="1"/>
    <col min="9" max="9" width="21.5703125" style="5" customWidth="1"/>
    <col min="10" max="12" width="15" style="5" bestFit="1" customWidth="1"/>
    <col min="13" max="13" width="11.42578125" style="5"/>
  </cols>
  <sheetData>
    <row r="4" spans="2:10" ht="19.5" thickBot="1" x14ac:dyDescent="0.35"/>
    <row r="5" spans="2:10" ht="19.5" thickBot="1" x14ac:dyDescent="0.35">
      <c r="B5" s="1"/>
      <c r="C5" s="305" t="s">
        <v>132</v>
      </c>
      <c r="D5" s="306"/>
      <c r="E5" s="306"/>
      <c r="F5" s="306"/>
      <c r="G5" s="307"/>
      <c r="H5" s="10"/>
      <c r="I5" s="11"/>
    </row>
    <row r="6" spans="2:10" ht="7.5" customHeight="1" x14ac:dyDescent="0.3">
      <c r="B6" s="12"/>
      <c r="C6" s="12"/>
      <c r="D6" s="12"/>
      <c r="E6" s="12"/>
      <c r="F6" s="13"/>
      <c r="G6" s="12"/>
      <c r="H6" s="12"/>
      <c r="I6" s="12"/>
    </row>
    <row r="7" spans="2:10" x14ac:dyDescent="0.3">
      <c r="B7" s="14"/>
      <c r="C7" s="301" t="s">
        <v>0</v>
      </c>
      <c r="D7" s="302"/>
      <c r="E7" s="302"/>
      <c r="F7" s="303"/>
      <c r="G7" s="304" t="s">
        <v>45</v>
      </c>
    </row>
    <row r="8" spans="2:10" ht="19.5" thickBot="1" x14ac:dyDescent="0.35">
      <c r="B8" s="15"/>
      <c r="C8" s="301"/>
      <c r="D8" s="302"/>
      <c r="E8" s="302"/>
      <c r="F8" s="303"/>
      <c r="G8" s="304"/>
    </row>
    <row r="9" spans="2:10" x14ac:dyDescent="0.3">
      <c r="B9" s="7" t="s">
        <v>1</v>
      </c>
      <c r="C9" s="6" t="s">
        <v>2</v>
      </c>
      <c r="D9" s="6" t="s">
        <v>3</v>
      </c>
      <c r="E9" s="6" t="s">
        <v>5</v>
      </c>
      <c r="F9" s="6" t="s">
        <v>4</v>
      </c>
      <c r="G9" s="56" t="s">
        <v>6</v>
      </c>
    </row>
    <row r="10" spans="2:10" x14ac:dyDescent="0.3">
      <c r="B10" s="16" t="s">
        <v>7</v>
      </c>
      <c r="C10" s="54">
        <v>34.019999999999996</v>
      </c>
      <c r="D10" s="54">
        <v>0</v>
      </c>
      <c r="E10" s="54">
        <v>20.8</v>
      </c>
      <c r="F10" s="54">
        <v>3068.8009999999999</v>
      </c>
      <c r="G10" s="57">
        <f t="shared" ref="G10:G17" si="0">SUM(C10:F10)</f>
        <v>3123.6210000000001</v>
      </c>
    </row>
    <row r="11" spans="2:10" x14ac:dyDescent="0.3">
      <c r="B11" s="17" t="s">
        <v>8</v>
      </c>
      <c r="C11" s="18">
        <v>20.004000000000001</v>
      </c>
      <c r="D11" s="18">
        <v>0</v>
      </c>
      <c r="E11" s="18">
        <v>8</v>
      </c>
      <c r="F11" s="18">
        <v>1865.5639999999999</v>
      </c>
      <c r="G11" s="58">
        <f t="shared" si="0"/>
        <v>1893.5679999999998</v>
      </c>
      <c r="J11" s="19"/>
    </row>
    <row r="12" spans="2:10" x14ac:dyDescent="0.3">
      <c r="B12" s="16" t="s">
        <v>9</v>
      </c>
      <c r="C12" s="54">
        <v>1737.1500000000008</v>
      </c>
      <c r="D12" s="54">
        <v>13.620000000000001</v>
      </c>
      <c r="E12" s="54">
        <v>301.16000000000003</v>
      </c>
      <c r="F12" s="54">
        <v>3029.4879999999998</v>
      </c>
      <c r="G12" s="57">
        <f t="shared" si="0"/>
        <v>5081.4180000000006</v>
      </c>
      <c r="J12" s="19"/>
    </row>
    <row r="13" spans="2:10" x14ac:dyDescent="0.3">
      <c r="B13" s="17" t="s">
        <v>10</v>
      </c>
      <c r="C13" s="18">
        <v>13022.533200000013</v>
      </c>
      <c r="D13" s="18">
        <v>0</v>
      </c>
      <c r="E13" s="18">
        <v>1613.2720000000013</v>
      </c>
      <c r="F13" s="18">
        <v>1406.0060000000001</v>
      </c>
      <c r="G13" s="58">
        <f t="shared" si="0"/>
        <v>16041.811200000013</v>
      </c>
    </row>
    <row r="14" spans="2:10" x14ac:dyDescent="0.3">
      <c r="B14" s="16" t="s">
        <v>11</v>
      </c>
      <c r="C14" s="54">
        <v>29170.760399999985</v>
      </c>
      <c r="D14" s="54">
        <v>80.175000000000011</v>
      </c>
      <c r="E14" s="54">
        <v>7167.3015999999907</v>
      </c>
      <c r="F14" s="54">
        <v>2087.0555000000004</v>
      </c>
      <c r="G14" s="57">
        <f t="shared" si="0"/>
        <v>38505.292499999974</v>
      </c>
    </row>
    <row r="15" spans="2:10" x14ac:dyDescent="0.3">
      <c r="B15" s="17" t="s">
        <v>44</v>
      </c>
      <c r="C15" s="18">
        <v>70925.565231999804</v>
      </c>
      <c r="D15" s="18">
        <v>201.5</v>
      </c>
      <c r="E15" s="18">
        <v>11253.196789999987</v>
      </c>
      <c r="F15" s="18">
        <v>5217.0499999999984</v>
      </c>
      <c r="G15" s="58">
        <f t="shared" si="0"/>
        <v>87597.312021999795</v>
      </c>
    </row>
    <row r="16" spans="2:10" x14ac:dyDescent="0.3">
      <c r="B16" s="16" t="s">
        <v>121</v>
      </c>
      <c r="C16" s="54">
        <v>75472.791087997539</v>
      </c>
      <c r="D16" s="54">
        <v>106.68</v>
      </c>
      <c r="E16" s="54">
        <v>7997.6969999999565</v>
      </c>
      <c r="F16" s="54">
        <v>11421.981000000013</v>
      </c>
      <c r="G16" s="57">
        <f t="shared" si="0"/>
        <v>94999.149087997503</v>
      </c>
    </row>
    <row r="17" spans="2:13" ht="19.5" thickBot="1" x14ac:dyDescent="0.35">
      <c r="B17" s="17" t="s">
        <v>133</v>
      </c>
      <c r="C17" s="18">
        <v>25766.174241999917</v>
      </c>
      <c r="D17" s="18">
        <v>0</v>
      </c>
      <c r="E17" s="18">
        <v>3495.1069999999931</v>
      </c>
      <c r="F17" s="18">
        <v>7925.4200000000264</v>
      </c>
      <c r="G17" s="58">
        <f t="shared" si="0"/>
        <v>37186.701241999937</v>
      </c>
    </row>
    <row r="18" spans="2:13" ht="19.5" thickBot="1" x14ac:dyDescent="0.35">
      <c r="B18" s="75" t="s">
        <v>134</v>
      </c>
      <c r="C18" s="55">
        <f>SUM(C10:C17)</f>
        <v>216148.99816199724</v>
      </c>
      <c r="D18" s="55">
        <f>SUM(D10:D17)</f>
        <v>401.97500000000002</v>
      </c>
      <c r="E18" s="55">
        <f>SUM(E10:E17)</f>
        <v>31856.534389999928</v>
      </c>
      <c r="F18" s="55">
        <f>SUM(F10:F17)</f>
        <v>36021.365500000036</v>
      </c>
      <c r="G18" s="60">
        <f>SUM(G10:G17)</f>
        <v>284428.87305199722</v>
      </c>
    </row>
    <row r="19" spans="2:13" x14ac:dyDescent="0.3">
      <c r="B19" s="16" t="s">
        <v>12</v>
      </c>
      <c r="C19" s="20">
        <f>C18/G18</f>
        <v>0.75994042321604405</v>
      </c>
      <c r="D19" s="20">
        <f>D18/G18</f>
        <v>1.4132707263039147E-3</v>
      </c>
      <c r="E19" s="20">
        <f>E18/G18</f>
        <v>0.11200176004697016</v>
      </c>
      <c r="F19" s="20">
        <f>F18/G18</f>
        <v>0.12664454601068181</v>
      </c>
      <c r="G19" s="59">
        <f>SUM(C19:F19)</f>
        <v>1</v>
      </c>
    </row>
    <row r="21" spans="2:13" ht="15" x14ac:dyDescent="0.25">
      <c r="B21"/>
      <c r="C21"/>
      <c r="D21"/>
      <c r="E21"/>
      <c r="F21"/>
      <c r="G21"/>
      <c r="H21"/>
      <c r="I21"/>
      <c r="J21"/>
      <c r="K21"/>
      <c r="L21"/>
      <c r="M21"/>
    </row>
    <row r="22" spans="2:13" x14ac:dyDescent="0.3">
      <c r="C22"/>
      <c r="D22"/>
      <c r="E22"/>
      <c r="F22"/>
      <c r="G22"/>
      <c r="H22"/>
      <c r="I22"/>
      <c r="J22"/>
      <c r="K22"/>
      <c r="L22"/>
      <c r="M22"/>
    </row>
    <row r="23" spans="2:13" ht="18" x14ac:dyDescent="0.25">
      <c r="B23"/>
      <c r="C23"/>
      <c r="D23"/>
      <c r="E23" s="8"/>
      <c r="F23" s="9"/>
      <c r="G23"/>
      <c r="H23"/>
      <c r="I23"/>
      <c r="J23"/>
      <c r="K23"/>
      <c r="L23"/>
      <c r="M23"/>
    </row>
    <row r="24" spans="2:13" ht="15" x14ac:dyDescent="0.25">
      <c r="B24"/>
      <c r="C24"/>
      <c r="D24"/>
      <c r="E24"/>
      <c r="F24"/>
      <c r="G24"/>
      <c r="H24"/>
      <c r="I24"/>
      <c r="J24"/>
      <c r="K24"/>
      <c r="L24"/>
      <c r="M24"/>
    </row>
    <row r="25" spans="2:13" ht="15" x14ac:dyDescent="0.25">
      <c r="B25" s="2"/>
      <c r="C25" s="2"/>
      <c r="D25"/>
      <c r="E25"/>
      <c r="F25"/>
      <c r="G25"/>
      <c r="H25"/>
      <c r="I25"/>
      <c r="J25"/>
      <c r="K25"/>
      <c r="L25"/>
      <c r="M25"/>
    </row>
    <row r="26" spans="2:13" ht="15" customHeight="1" x14ac:dyDescent="0.25">
      <c r="B26" s="2"/>
      <c r="C26" s="2"/>
      <c r="D26"/>
      <c r="E26"/>
      <c r="F26"/>
      <c r="G26"/>
      <c r="H26"/>
      <c r="I26"/>
      <c r="J26"/>
      <c r="K26"/>
      <c r="L26"/>
      <c r="M26"/>
    </row>
    <row r="27" spans="2:13" ht="15" x14ac:dyDescent="0.25">
      <c r="B27" s="2"/>
      <c r="C27" s="2"/>
      <c r="D27"/>
      <c r="E27"/>
      <c r="F27"/>
      <c r="G27"/>
      <c r="H27"/>
      <c r="I27"/>
      <c r="J27"/>
      <c r="K27"/>
      <c r="L27"/>
      <c r="M27"/>
    </row>
    <row r="28" spans="2:13" ht="15" x14ac:dyDescent="0.25">
      <c r="B28" s="3"/>
      <c r="C28" s="2"/>
      <c r="D28"/>
      <c r="E28"/>
      <c r="F28"/>
      <c r="G28"/>
      <c r="H28"/>
      <c r="I28"/>
      <c r="J28"/>
      <c r="K28"/>
      <c r="L28"/>
      <c r="M28"/>
    </row>
    <row r="29" spans="2:13" ht="15" x14ac:dyDescent="0.25">
      <c r="B29" s="2"/>
      <c r="C29" s="2"/>
      <c r="D29"/>
      <c r="E29"/>
      <c r="F29"/>
      <c r="G29"/>
      <c r="H29"/>
      <c r="I29"/>
      <c r="J29"/>
      <c r="K29"/>
      <c r="L29"/>
      <c r="M29"/>
    </row>
    <row r="30" spans="2:13" ht="15" x14ac:dyDescent="0.25">
      <c r="B30" s="2"/>
      <c r="C30" s="2"/>
      <c r="D30"/>
      <c r="E30"/>
      <c r="F30"/>
      <c r="G30"/>
      <c r="H30"/>
      <c r="I30"/>
      <c r="J30"/>
      <c r="K30"/>
      <c r="L30"/>
      <c r="M30"/>
    </row>
    <row r="31" spans="2:13" ht="15" x14ac:dyDescent="0.25">
      <c r="B31" s="2"/>
      <c r="C31" s="4"/>
      <c r="D31"/>
      <c r="E31"/>
      <c r="F31"/>
      <c r="G31"/>
      <c r="H31"/>
      <c r="I31"/>
      <c r="J31"/>
      <c r="K31"/>
      <c r="L31"/>
      <c r="M31"/>
    </row>
    <row r="32" spans="2:13" ht="15" x14ac:dyDescent="0.25">
      <c r="B32" s="4"/>
      <c r="C32" s="2"/>
      <c r="D32"/>
      <c r="E32"/>
      <c r="F32"/>
      <c r="G32"/>
      <c r="H32"/>
      <c r="I32"/>
      <c r="J32"/>
      <c r="K32"/>
      <c r="L32"/>
      <c r="M32"/>
    </row>
    <row r="33" spans="2:13" ht="15" x14ac:dyDescent="0.25">
      <c r="B33" s="2"/>
      <c r="C33" s="2"/>
      <c r="D33"/>
      <c r="E33"/>
      <c r="F33"/>
      <c r="G33"/>
      <c r="H33"/>
      <c r="I33"/>
      <c r="J33"/>
      <c r="K33"/>
      <c r="L33"/>
      <c r="M33"/>
    </row>
    <row r="34" spans="2:13" ht="15" x14ac:dyDescent="0.25">
      <c r="B34" s="2"/>
      <c r="C34" s="2"/>
      <c r="D34"/>
      <c r="E34"/>
      <c r="F34"/>
      <c r="G34"/>
      <c r="H34"/>
      <c r="I34"/>
      <c r="J34"/>
      <c r="K34"/>
      <c r="L34"/>
      <c r="M34"/>
    </row>
    <row r="35" spans="2:13" ht="15" x14ac:dyDescent="0.25">
      <c r="B35" s="2"/>
      <c r="C35" s="2"/>
      <c r="D35"/>
      <c r="E35"/>
      <c r="F35"/>
      <c r="G35"/>
      <c r="H35"/>
      <c r="I35"/>
      <c r="J35"/>
      <c r="K35"/>
      <c r="L35"/>
      <c r="M35"/>
    </row>
    <row r="36" spans="2:13" ht="15" x14ac:dyDescent="0.25">
      <c r="B36" t="s">
        <v>49</v>
      </c>
      <c r="C36"/>
      <c r="D36"/>
      <c r="E36"/>
      <c r="F36"/>
      <c r="G36"/>
      <c r="H36"/>
      <c r="I36"/>
      <c r="J36"/>
      <c r="K36"/>
      <c r="L36"/>
      <c r="M36"/>
    </row>
    <row r="37" spans="2:13" ht="15" x14ac:dyDescent="0.25">
      <c r="B37"/>
      <c r="C37"/>
      <c r="D37"/>
      <c r="E37"/>
      <c r="F37"/>
      <c r="G37"/>
      <c r="H37"/>
      <c r="I37"/>
      <c r="J37"/>
      <c r="K37"/>
      <c r="L37"/>
      <c r="M37"/>
    </row>
    <row r="38" spans="2:13" x14ac:dyDescent="0.3">
      <c r="C38"/>
      <c r="D38"/>
      <c r="E38"/>
      <c r="F38"/>
      <c r="G38"/>
      <c r="H38"/>
      <c r="I38"/>
      <c r="J38"/>
      <c r="K38"/>
      <c r="L38"/>
      <c r="M38"/>
    </row>
    <row r="39" spans="2:13" ht="15" x14ac:dyDescent="0.25">
      <c r="B39"/>
      <c r="C39"/>
      <c r="D39"/>
      <c r="E39"/>
      <c r="F39"/>
      <c r="G39"/>
      <c r="H39"/>
      <c r="I39"/>
      <c r="J39"/>
      <c r="K39"/>
      <c r="L39"/>
      <c r="M39"/>
    </row>
    <row r="40" spans="2:13" ht="15" x14ac:dyDescent="0.25">
      <c r="B40"/>
      <c r="C40"/>
      <c r="D40"/>
      <c r="E40"/>
      <c r="F40"/>
      <c r="G40"/>
      <c r="H40"/>
      <c r="I40"/>
      <c r="J40"/>
      <c r="K40"/>
      <c r="L40"/>
      <c r="M40"/>
    </row>
    <row r="41" spans="2:13" ht="15" x14ac:dyDescent="0.25">
      <c r="B41"/>
      <c r="C41"/>
      <c r="D41"/>
      <c r="E41"/>
      <c r="F41"/>
      <c r="G41"/>
      <c r="H41"/>
      <c r="I41"/>
      <c r="J41"/>
      <c r="K41"/>
      <c r="L41"/>
      <c r="M41"/>
    </row>
    <row r="42" spans="2:13" ht="15" x14ac:dyDescent="0.25">
      <c r="B42"/>
      <c r="C42"/>
      <c r="D42"/>
      <c r="E42"/>
      <c r="F42"/>
      <c r="G42"/>
      <c r="H42"/>
      <c r="I42"/>
      <c r="J42"/>
      <c r="K42"/>
      <c r="L42"/>
      <c r="M42"/>
    </row>
    <row r="43" spans="2:13" ht="15" x14ac:dyDescent="0.25">
      <c r="B43"/>
      <c r="C43"/>
      <c r="D43"/>
      <c r="E43"/>
      <c r="F43"/>
      <c r="G43"/>
      <c r="H43"/>
      <c r="I43"/>
      <c r="J43"/>
      <c r="K43"/>
      <c r="L43"/>
      <c r="M43"/>
    </row>
    <row r="44" spans="2:13" ht="15" x14ac:dyDescent="0.25">
      <c r="B44"/>
      <c r="C44"/>
      <c r="D44"/>
      <c r="E44"/>
      <c r="F44"/>
      <c r="G44"/>
      <c r="H44"/>
      <c r="I44"/>
      <c r="J44"/>
      <c r="K44"/>
      <c r="L44"/>
      <c r="M44"/>
    </row>
    <row r="45" spans="2:13" ht="15" x14ac:dyDescent="0.25">
      <c r="B45"/>
      <c r="C45"/>
      <c r="D45"/>
      <c r="E45"/>
      <c r="F45"/>
      <c r="G45"/>
      <c r="H45"/>
      <c r="I45"/>
      <c r="J45"/>
      <c r="K45"/>
      <c r="L45"/>
      <c r="M45"/>
    </row>
    <row r="46" spans="2:13" ht="15" x14ac:dyDescent="0.25">
      <c r="B46"/>
      <c r="C46"/>
      <c r="D46"/>
      <c r="E46"/>
      <c r="F46"/>
      <c r="G46"/>
      <c r="H46"/>
      <c r="I46"/>
      <c r="J46"/>
      <c r="K46"/>
      <c r="L46"/>
      <c r="M46"/>
    </row>
    <row r="47" spans="2:13" ht="15" x14ac:dyDescent="0.25">
      <c r="B47"/>
      <c r="C47"/>
      <c r="D47"/>
      <c r="E47"/>
      <c r="F47"/>
      <c r="G47"/>
      <c r="H47"/>
      <c r="I47"/>
      <c r="J47"/>
      <c r="K47"/>
      <c r="L47"/>
      <c r="M47"/>
    </row>
    <row r="48" spans="2:13" ht="15" x14ac:dyDescent="0.25">
      <c r="B48"/>
      <c r="C48"/>
      <c r="D48"/>
      <c r="E48"/>
      <c r="F48"/>
      <c r="G48"/>
      <c r="H48"/>
      <c r="I48"/>
      <c r="J48"/>
      <c r="K48"/>
      <c r="L48"/>
      <c r="M48"/>
    </row>
    <row r="49" customFormat="1" ht="15" x14ac:dyDescent="0.25"/>
    <row r="50" customFormat="1" ht="15" x14ac:dyDescent="0.25"/>
    <row r="51" customFormat="1" ht="15" x14ac:dyDescent="0.25"/>
    <row r="52" customFormat="1" ht="15" x14ac:dyDescent="0.25"/>
    <row r="53" customFormat="1" ht="18.75" customHeight="1" x14ac:dyDescent="0.25"/>
    <row r="54" customFormat="1" ht="15" x14ac:dyDescent="0.25"/>
    <row r="55" customFormat="1" ht="15" x14ac:dyDescent="0.25"/>
    <row r="56" customFormat="1" ht="15" x14ac:dyDescent="0.25"/>
    <row r="57" customFormat="1" ht="15" x14ac:dyDescent="0.25"/>
    <row r="58" customFormat="1" ht="15" x14ac:dyDescent="0.25"/>
    <row r="59" customFormat="1" ht="15" x14ac:dyDescent="0.25"/>
    <row r="60" customFormat="1" ht="15" x14ac:dyDescent="0.25"/>
    <row r="61" customFormat="1" ht="15" x14ac:dyDescent="0.25"/>
    <row r="62" customFormat="1" ht="15" x14ac:dyDescent="0.25"/>
    <row r="63" customFormat="1" ht="15" x14ac:dyDescent="0.25"/>
    <row r="64" customFormat="1" ht="15" x14ac:dyDescent="0.25"/>
    <row r="65" spans="2:13" ht="15" x14ac:dyDescent="0.25">
      <c r="B65"/>
      <c r="C65"/>
      <c r="D65"/>
      <c r="E65"/>
      <c r="F65"/>
      <c r="G65"/>
      <c r="H65"/>
      <c r="I65"/>
      <c r="J65"/>
      <c r="K65"/>
      <c r="L65"/>
      <c r="M65"/>
    </row>
    <row r="66" spans="2:13" ht="15" x14ac:dyDescent="0.25">
      <c r="B66"/>
      <c r="C66"/>
      <c r="D66"/>
      <c r="E66"/>
      <c r="F66"/>
      <c r="G66"/>
      <c r="H66"/>
      <c r="I66"/>
      <c r="J66"/>
      <c r="K66"/>
      <c r="L66"/>
      <c r="M66"/>
    </row>
    <row r="67" spans="2:13" ht="15" x14ac:dyDescent="0.25">
      <c r="B67"/>
      <c r="C67"/>
      <c r="D67"/>
      <c r="E67"/>
      <c r="F67"/>
      <c r="G67"/>
      <c r="H67"/>
      <c r="I67"/>
      <c r="J67"/>
      <c r="K67"/>
      <c r="L67"/>
      <c r="M67"/>
    </row>
    <row r="68" spans="2:13" x14ac:dyDescent="0.3">
      <c r="J68"/>
      <c r="K68"/>
      <c r="L68"/>
      <c r="M68"/>
    </row>
    <row r="69" spans="2:13" x14ac:dyDescent="0.3">
      <c r="J69"/>
      <c r="K69"/>
      <c r="L69"/>
      <c r="M69"/>
    </row>
    <row r="70" spans="2:13" x14ac:dyDescent="0.3">
      <c r="J70"/>
      <c r="K70"/>
      <c r="L70"/>
      <c r="M70"/>
    </row>
    <row r="71" spans="2:13" x14ac:dyDescent="0.3">
      <c r="J71"/>
      <c r="K71"/>
      <c r="L71"/>
      <c r="M71"/>
    </row>
    <row r="72" spans="2:13" x14ac:dyDescent="0.3">
      <c r="J72"/>
      <c r="K72"/>
      <c r="L72"/>
      <c r="M72"/>
    </row>
    <row r="73" spans="2:13" x14ac:dyDescent="0.3">
      <c r="J73"/>
      <c r="K73"/>
      <c r="L73"/>
      <c r="M73"/>
    </row>
    <row r="74" spans="2:13" x14ac:dyDescent="0.3">
      <c r="J74"/>
      <c r="K74"/>
      <c r="L74"/>
      <c r="M74"/>
    </row>
    <row r="75" spans="2:13" x14ac:dyDescent="0.3">
      <c r="J75"/>
      <c r="K75"/>
      <c r="L75"/>
      <c r="M75"/>
    </row>
    <row r="76" spans="2:13" x14ac:dyDescent="0.3">
      <c r="J76"/>
      <c r="K76"/>
      <c r="L76"/>
      <c r="M76"/>
    </row>
    <row r="77" spans="2:13" x14ac:dyDescent="0.3">
      <c r="J77"/>
      <c r="K77"/>
      <c r="L77"/>
      <c r="M77"/>
    </row>
    <row r="78" spans="2:13" x14ac:dyDescent="0.3">
      <c r="J78"/>
      <c r="K78"/>
      <c r="L78"/>
      <c r="M78"/>
    </row>
  </sheetData>
  <mergeCells count="3">
    <mergeCell ref="C7:F8"/>
    <mergeCell ref="G7:G8"/>
    <mergeCell ref="C5:G5"/>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2:O26"/>
  <sheetViews>
    <sheetView showGridLines="0" zoomScale="70" zoomScaleNormal="70" workbookViewId="0">
      <selection activeCell="D19" sqref="D19"/>
    </sheetView>
  </sheetViews>
  <sheetFormatPr baseColWidth="10" defaultRowHeight="15.75" x14ac:dyDescent="0.25"/>
  <cols>
    <col min="1" max="1" width="7.28515625" customWidth="1"/>
    <col min="2" max="2" width="29" style="24" customWidth="1"/>
    <col min="3" max="4" width="27.42578125" style="24" bestFit="1" customWidth="1"/>
    <col min="5" max="5" width="19.28515625" style="24" customWidth="1"/>
    <col min="6" max="6" width="16" style="24" customWidth="1"/>
    <col min="7" max="7" width="16.42578125" style="24" customWidth="1"/>
    <col min="8" max="10" width="11.42578125" style="24"/>
    <col min="11" max="11" width="16.140625" style="24" customWidth="1"/>
    <col min="12" max="12" width="15" style="24" bestFit="1" customWidth="1"/>
    <col min="13" max="13" width="15.85546875" style="24" customWidth="1"/>
    <col min="14" max="15" width="11.42578125" style="24"/>
  </cols>
  <sheetData>
    <row r="2" spans="2:13" ht="18.75" x14ac:dyDescent="0.3">
      <c r="B2" s="35"/>
      <c r="C2" s="35"/>
      <c r="D2" s="1"/>
      <c r="E2" s="1"/>
      <c r="F2" s="1"/>
      <c r="G2" s="1"/>
      <c r="H2" s="8" t="s">
        <v>50</v>
      </c>
      <c r="I2" s="9">
        <v>32</v>
      </c>
      <c r="J2" s="308" t="s">
        <v>136</v>
      </c>
      <c r="K2" s="308"/>
      <c r="L2" s="5"/>
      <c r="M2" s="5"/>
    </row>
    <row r="3" spans="2:13" ht="18.75" x14ac:dyDescent="0.3">
      <c r="B3" s="21"/>
      <c r="C3" s="21"/>
      <c r="D3" s="12"/>
      <c r="E3" s="12"/>
      <c r="F3" s="12"/>
      <c r="G3" s="12"/>
      <c r="H3" s="13" t="s">
        <v>24</v>
      </c>
      <c r="I3" s="12"/>
      <c r="J3" s="12"/>
      <c r="K3" s="12"/>
      <c r="L3" s="5"/>
      <c r="M3" s="5"/>
    </row>
    <row r="4" spans="2:13" ht="18.75" x14ac:dyDescent="0.3">
      <c r="D4" s="5"/>
      <c r="E4" s="5"/>
      <c r="F4" s="5"/>
      <c r="G4" s="5"/>
      <c r="H4" s="5"/>
      <c r="I4" s="5"/>
      <c r="J4" s="5"/>
      <c r="K4" s="5"/>
      <c r="L4" s="5"/>
      <c r="M4" s="5"/>
    </row>
    <row r="5" spans="2:13" ht="17.25" customHeight="1" x14ac:dyDescent="0.25">
      <c r="B5" s="61"/>
      <c r="C5" s="72"/>
      <c r="D5" s="314" t="s">
        <v>138</v>
      </c>
      <c r="E5" s="315"/>
      <c r="F5" s="315"/>
      <c r="G5" s="316"/>
      <c r="H5" s="309" t="s">
        <v>25</v>
      </c>
      <c r="I5" s="309"/>
      <c r="J5" s="309"/>
      <c r="K5" s="311" t="s">
        <v>41</v>
      </c>
      <c r="L5" s="309"/>
      <c r="M5" s="309"/>
    </row>
    <row r="6" spans="2:13" ht="18" thickBot="1" x14ac:dyDescent="0.3">
      <c r="B6" s="62"/>
      <c r="C6" s="73"/>
      <c r="D6" s="317"/>
      <c r="E6" s="318"/>
      <c r="F6" s="318"/>
      <c r="G6" s="319"/>
      <c r="H6" s="310"/>
      <c r="I6" s="310"/>
      <c r="J6" s="310"/>
      <c r="K6" s="312"/>
      <c r="L6" s="310"/>
      <c r="M6" s="310"/>
    </row>
    <row r="7" spans="2:13" ht="18.75" x14ac:dyDescent="0.25">
      <c r="B7" s="7" t="s">
        <v>13</v>
      </c>
      <c r="C7" s="87" t="s">
        <v>122</v>
      </c>
      <c r="D7" s="86" t="s">
        <v>135</v>
      </c>
      <c r="E7" s="87">
        <v>2020</v>
      </c>
      <c r="F7" s="87">
        <v>2019</v>
      </c>
      <c r="G7" s="88">
        <v>2018</v>
      </c>
      <c r="H7" s="89">
        <v>2020</v>
      </c>
      <c r="I7" s="6">
        <v>2019</v>
      </c>
      <c r="J7" s="90">
        <v>2018</v>
      </c>
      <c r="K7" s="89">
        <v>2020</v>
      </c>
      <c r="L7" s="6">
        <v>2019</v>
      </c>
      <c r="M7" s="90">
        <v>2018</v>
      </c>
    </row>
    <row r="8" spans="2:13" ht="18.75" x14ac:dyDescent="0.3">
      <c r="B8" s="136" t="s">
        <v>14</v>
      </c>
      <c r="C8" s="137">
        <v>17016.58300000001</v>
      </c>
      <c r="D8" s="262">
        <v>17290.015000000003</v>
      </c>
      <c r="E8" s="91">
        <v>27322.190899999809</v>
      </c>
      <c r="F8" s="91">
        <v>27072.3821199997</v>
      </c>
      <c r="G8" s="92">
        <v>22666.457999999795</v>
      </c>
      <c r="H8" s="93">
        <f>+D8/E8-1</f>
        <v>-0.36718050674332547</v>
      </c>
      <c r="I8" s="94">
        <f>D8/F8-1</f>
        <v>-0.36134120287748828</v>
      </c>
      <c r="J8" s="95">
        <f t="shared" ref="J8:J17" si="0">D8/G8-1</f>
        <v>-0.23719819832458344</v>
      </c>
      <c r="K8" s="96">
        <f t="shared" ref="K8:K17" si="1">D8-E8</f>
        <v>-10032.175899999806</v>
      </c>
      <c r="L8" s="97">
        <f t="shared" ref="L8:L18" si="2">D8-F8</f>
        <v>-9782.367119999697</v>
      </c>
      <c r="M8" s="98">
        <f t="shared" ref="M8:M18" si="3">D8-G8</f>
        <v>-5376.4429999997919</v>
      </c>
    </row>
    <row r="9" spans="2:13" ht="18.75" x14ac:dyDescent="0.3">
      <c r="B9" s="136" t="s">
        <v>15</v>
      </c>
      <c r="C9" s="137">
        <v>7001.8860000000068</v>
      </c>
      <c r="D9" s="262">
        <v>7461.0180000000073</v>
      </c>
      <c r="E9" s="91">
        <v>31706.872999999785</v>
      </c>
      <c r="F9" s="91">
        <v>28571.118999999919</v>
      </c>
      <c r="G9" s="92">
        <v>58562.30303999946</v>
      </c>
      <c r="H9" s="93">
        <f t="shared" ref="H9:H19" si="4">+D9/E9-1</f>
        <v>-0.76468767512961433</v>
      </c>
      <c r="I9" s="94">
        <f>D9/F9-1</f>
        <v>-0.73886154056479103</v>
      </c>
      <c r="J9" s="95">
        <f t="shared" si="0"/>
        <v>-0.87259691622947355</v>
      </c>
      <c r="K9" s="96">
        <f t="shared" si="1"/>
        <v>-24245.854999999778</v>
      </c>
      <c r="L9" s="97">
        <f t="shared" si="2"/>
        <v>-21110.100999999911</v>
      </c>
      <c r="M9" s="98">
        <f t="shared" si="3"/>
        <v>-51101.28503999945</v>
      </c>
    </row>
    <row r="10" spans="2:13" ht="18.75" x14ac:dyDescent="0.3">
      <c r="B10" s="136" t="s">
        <v>16</v>
      </c>
      <c r="C10" s="137">
        <v>14511.291999999989</v>
      </c>
      <c r="D10" s="262">
        <v>16075.375999999995</v>
      </c>
      <c r="E10" s="91">
        <v>19854.03899999991</v>
      </c>
      <c r="F10" s="91">
        <v>24386.335999999937</v>
      </c>
      <c r="G10" s="92">
        <v>29771.418039999749</v>
      </c>
      <c r="H10" s="93">
        <f t="shared" si="4"/>
        <v>-0.19032213042393697</v>
      </c>
      <c r="I10" s="94">
        <f>D10/F10-1</f>
        <v>-0.34080396497448262</v>
      </c>
      <c r="J10" s="95">
        <f t="shared" si="0"/>
        <v>-0.46003996254388257</v>
      </c>
      <c r="K10" s="96">
        <f t="shared" si="1"/>
        <v>-3778.662999999915</v>
      </c>
      <c r="L10" s="97">
        <f t="shared" si="2"/>
        <v>-8310.9599999999427</v>
      </c>
      <c r="M10" s="98">
        <f t="shared" si="3"/>
        <v>-13696.042039999755</v>
      </c>
    </row>
    <row r="11" spans="2:13" ht="19.5" thickBot="1" x14ac:dyDescent="0.35">
      <c r="B11" s="136" t="s">
        <v>17</v>
      </c>
      <c r="C11" s="137">
        <v>37906.323271999783</v>
      </c>
      <c r="D11" s="262">
        <v>44982.909113999704</v>
      </c>
      <c r="E11" s="91">
        <v>44873.824627999529</v>
      </c>
      <c r="F11" s="91">
        <v>37535.893339999449</v>
      </c>
      <c r="G11" s="92">
        <v>46461.172359999422</v>
      </c>
      <c r="H11" s="222">
        <f t="shared" si="4"/>
        <v>2.4309157265840486E-3</v>
      </c>
      <c r="I11" s="269">
        <f>D11/F11-1</f>
        <v>0.19839719029850489</v>
      </c>
      <c r="J11" s="95">
        <f t="shared" si="0"/>
        <v>-3.1817174877671106E-2</v>
      </c>
      <c r="K11" s="223">
        <f t="shared" si="1"/>
        <v>109.08448600017437</v>
      </c>
      <c r="L11" s="270">
        <f t="shared" si="2"/>
        <v>7447.0157740002542</v>
      </c>
      <c r="M11" s="98">
        <f t="shared" si="3"/>
        <v>-1478.2632459997185</v>
      </c>
    </row>
    <row r="12" spans="2:13" ht="19.5" thickBot="1" x14ac:dyDescent="0.35">
      <c r="B12" s="138" t="s">
        <v>18</v>
      </c>
      <c r="C12" s="139">
        <f>SUM(C8:C11)</f>
        <v>76436.084271999789</v>
      </c>
      <c r="D12" s="99">
        <f>SUM(D8:D11)</f>
        <v>85809.318113999703</v>
      </c>
      <c r="E12" s="100">
        <f>SUM(E8:E11)</f>
        <v>123756.92752799904</v>
      </c>
      <c r="F12" s="100">
        <f>SUM(F8:F11)</f>
        <v>117565.730459999</v>
      </c>
      <c r="G12" s="101">
        <f>SUM(G8:G11)</f>
        <v>157461.35143999843</v>
      </c>
      <c r="H12" s="102">
        <f t="shared" si="4"/>
        <v>-0.3066301836348837</v>
      </c>
      <c r="I12" s="102">
        <f>D12/F12-1</f>
        <v>-0.27011623388674655</v>
      </c>
      <c r="J12" s="102">
        <f t="shared" si="0"/>
        <v>-0.45504520741587917</v>
      </c>
      <c r="K12" s="103">
        <f t="shared" si="1"/>
        <v>-37947.609413999337</v>
      </c>
      <c r="L12" s="103">
        <f t="shared" si="2"/>
        <v>-31756.412345999299</v>
      </c>
      <c r="M12" s="103">
        <f t="shared" si="3"/>
        <v>-71652.033325998724</v>
      </c>
    </row>
    <row r="13" spans="2:13" ht="18.75" x14ac:dyDescent="0.3">
      <c r="B13" s="140" t="s">
        <v>19</v>
      </c>
      <c r="C13" s="141">
        <v>29775.057099999882</v>
      </c>
      <c r="D13" s="262">
        <v>30778.869099999858</v>
      </c>
      <c r="E13" s="104">
        <v>55132.09603999908</v>
      </c>
      <c r="F13" s="104">
        <v>47628.620819999669</v>
      </c>
      <c r="G13" s="105">
        <v>32524.07743999979</v>
      </c>
      <c r="H13" s="106">
        <f t="shared" si="4"/>
        <v>-0.4417250329523229</v>
      </c>
      <c r="I13" s="107">
        <f>C13/F13-1</f>
        <v>-0.3748494794227365</v>
      </c>
      <c r="J13" s="108">
        <f t="shared" si="0"/>
        <v>-5.3658965214908316E-2</v>
      </c>
      <c r="K13" s="109">
        <f t="shared" si="1"/>
        <v>-24353.226939999222</v>
      </c>
      <c r="L13" s="110">
        <f t="shared" si="2"/>
        <v>-16849.751719999811</v>
      </c>
      <c r="M13" s="111">
        <f t="shared" si="3"/>
        <v>-1745.2083399999319</v>
      </c>
    </row>
    <row r="14" spans="2:13" ht="18.75" x14ac:dyDescent="0.3">
      <c r="B14" s="140" t="s">
        <v>20</v>
      </c>
      <c r="C14" s="141">
        <v>6689.8339999999798</v>
      </c>
      <c r="D14" s="262">
        <v>6715.1059999999807</v>
      </c>
      <c r="E14" s="104">
        <v>9452.1600000000017</v>
      </c>
      <c r="F14" s="104">
        <v>9356.8119999999944</v>
      </c>
      <c r="G14" s="105">
        <v>11288.114000000018</v>
      </c>
      <c r="H14" s="93">
        <f t="shared" si="4"/>
        <v>-0.28956915667953365</v>
      </c>
      <c r="I14" s="94">
        <f>D14/F14-1</f>
        <v>-0.28232970802448687</v>
      </c>
      <c r="J14" s="95">
        <f t="shared" si="0"/>
        <v>-0.40511709927805739</v>
      </c>
      <c r="K14" s="96">
        <f t="shared" si="1"/>
        <v>-2737.054000000021</v>
      </c>
      <c r="L14" s="97">
        <f t="shared" si="2"/>
        <v>-2641.7060000000138</v>
      </c>
      <c r="M14" s="98">
        <f t="shared" si="3"/>
        <v>-4573.0080000000371</v>
      </c>
    </row>
    <row r="15" spans="2:13" ht="18.75" x14ac:dyDescent="0.3">
      <c r="B15" s="142" t="s">
        <v>23</v>
      </c>
      <c r="C15" s="141">
        <v>4142.9739999999983</v>
      </c>
      <c r="D15" s="262">
        <v>4326.9740000000011</v>
      </c>
      <c r="E15" s="112">
        <v>3741.0680000000002</v>
      </c>
      <c r="F15" s="112">
        <v>4175.6720000000023</v>
      </c>
      <c r="G15" s="112">
        <v>5969.4260000000013</v>
      </c>
      <c r="H15" s="222">
        <f t="shared" si="4"/>
        <v>0.15661463517904539</v>
      </c>
      <c r="I15" s="113">
        <f>D15/F15-1</f>
        <v>3.623416781777844E-2</v>
      </c>
      <c r="J15" s="95">
        <f t="shared" si="0"/>
        <v>-0.27514404232500744</v>
      </c>
      <c r="K15" s="223">
        <f t="shared" si="1"/>
        <v>585.90600000000086</v>
      </c>
      <c r="L15" s="114">
        <f t="shared" si="2"/>
        <v>151.30199999999877</v>
      </c>
      <c r="M15" s="98">
        <f t="shared" si="3"/>
        <v>-1642.4520000000002</v>
      </c>
    </row>
    <row r="16" spans="2:13" ht="18.75" x14ac:dyDescent="0.3">
      <c r="B16" s="140" t="s">
        <v>21</v>
      </c>
      <c r="C16" s="141">
        <v>61672.90764800099</v>
      </c>
      <c r="D16" s="262">
        <v>65196.264248000734</v>
      </c>
      <c r="E16" s="104">
        <v>32232.665999999655</v>
      </c>
      <c r="F16" s="104">
        <v>23183.12444999993</v>
      </c>
      <c r="G16" s="105">
        <v>7126.0184999999983</v>
      </c>
      <c r="H16" s="115">
        <f t="shared" si="4"/>
        <v>1.022676754321266</v>
      </c>
      <c r="I16" s="113">
        <f>D16/F16-1</f>
        <v>1.8122294037032152</v>
      </c>
      <c r="J16" s="116">
        <f t="shared" si="0"/>
        <v>8.149045044999637</v>
      </c>
      <c r="K16" s="117">
        <f t="shared" si="1"/>
        <v>32963.598248001079</v>
      </c>
      <c r="L16" s="114">
        <f t="shared" si="2"/>
        <v>42013.139798000804</v>
      </c>
      <c r="M16" s="118">
        <f t="shared" si="3"/>
        <v>58070.245748000736</v>
      </c>
    </row>
    <row r="17" spans="1:13" ht="19.5" thickBot="1" x14ac:dyDescent="0.35">
      <c r="B17" s="140" t="s">
        <v>22</v>
      </c>
      <c r="C17" s="141">
        <v>21769.56550000007</v>
      </c>
      <c r="D17" s="262">
        <v>23322.466700000114</v>
      </c>
      <c r="E17" s="104">
        <v>17615.888800000019</v>
      </c>
      <c r="F17" s="104">
        <v>20654.121199999903</v>
      </c>
      <c r="G17" s="105">
        <v>24270.410499999925</v>
      </c>
      <c r="H17" s="115">
        <f t="shared" si="4"/>
        <v>0.32394493203204644</v>
      </c>
      <c r="I17" s="113">
        <f>D17/F17-1</f>
        <v>0.12919191642974504</v>
      </c>
      <c r="J17" s="95">
        <f t="shared" si="0"/>
        <v>-3.9057592371575911E-2</v>
      </c>
      <c r="K17" s="117">
        <f t="shared" si="1"/>
        <v>5706.5779000000948</v>
      </c>
      <c r="L17" s="114">
        <f t="shared" si="2"/>
        <v>2668.3455000002104</v>
      </c>
      <c r="M17" s="98">
        <f t="shared" si="3"/>
        <v>-947.94379999981174</v>
      </c>
    </row>
    <row r="18" spans="1:13" ht="19.5" thickBot="1" x14ac:dyDescent="0.35">
      <c r="B18" s="143" t="s">
        <v>26</v>
      </c>
      <c r="C18" s="144">
        <f>SUM(C13:C17)</f>
        <v>124050.33824800093</v>
      </c>
      <c r="D18" s="119">
        <f>SUM(D13:D17)</f>
        <v>130339.68004800068</v>
      </c>
      <c r="E18" s="120">
        <f>SUM(E13:E17)</f>
        <v>118173.87883999877</v>
      </c>
      <c r="F18" s="120">
        <f>SUM(F13:F17)</f>
        <v>104998.35046999951</v>
      </c>
      <c r="G18" s="121">
        <f>SUM(G13:G17)</f>
        <v>81178.046439999729</v>
      </c>
      <c r="H18" s="115">
        <f t="shared" si="4"/>
        <v>0.10294831080626343</v>
      </c>
      <c r="I18" s="113">
        <f>D18/F18-1</f>
        <v>0.24134978754015557</v>
      </c>
      <c r="J18" s="116">
        <f t="shared" ref="J18:J19" si="5">D18/G18-1</f>
        <v>0.60560257069424872</v>
      </c>
      <c r="K18" s="122">
        <f t="shared" ref="K18:K19" si="6">D18-E18</f>
        <v>12165.801208001911</v>
      </c>
      <c r="L18" s="123">
        <f t="shared" si="2"/>
        <v>25341.329578001169</v>
      </c>
      <c r="M18" s="123">
        <f t="shared" si="3"/>
        <v>49161.63360800095</v>
      </c>
    </row>
    <row r="19" spans="1:13" ht="19.5" thickBot="1" x14ac:dyDescent="0.3">
      <c r="B19" s="221" t="s">
        <v>137</v>
      </c>
      <c r="C19" s="145">
        <f>C12+C18</f>
        <v>200486.42252000072</v>
      </c>
      <c r="D19" s="124">
        <f>D12+D18</f>
        <v>216148.99816200038</v>
      </c>
      <c r="E19" s="125">
        <f>E12+E18</f>
        <v>241930.80636799781</v>
      </c>
      <c r="F19" s="125">
        <f>F12+F18</f>
        <v>222564.08092999851</v>
      </c>
      <c r="G19" s="125">
        <f>G12+G18</f>
        <v>238639.39787999814</v>
      </c>
      <c r="H19" s="126">
        <f t="shared" si="4"/>
        <v>-0.10656686758105971</v>
      </c>
      <c r="I19" s="126">
        <f t="shared" ref="I19" si="7">D19/F19-1</f>
        <v>-2.882353136765059E-2</v>
      </c>
      <c r="J19" s="126">
        <f t="shared" si="5"/>
        <v>-9.424428622346448E-2</v>
      </c>
      <c r="K19" s="127">
        <f t="shared" si="6"/>
        <v>-25781.808205997426</v>
      </c>
      <c r="L19" s="128">
        <f t="shared" ref="L19" si="8">D19-F19</f>
        <v>-6415.0827679981303</v>
      </c>
      <c r="M19" s="128">
        <f t="shared" ref="M19" si="9">D19-G19</f>
        <v>-22490.39971799776</v>
      </c>
    </row>
    <row r="20" spans="1:13" ht="18.75" x14ac:dyDescent="0.3">
      <c r="B20" s="146" t="s">
        <v>46</v>
      </c>
      <c r="C20" s="147"/>
      <c r="D20" s="129"/>
      <c r="E20" s="130">
        <v>248044.08040000001</v>
      </c>
      <c r="F20" s="130">
        <v>233879.3</v>
      </c>
      <c r="G20" s="130">
        <v>271615.8149</v>
      </c>
      <c r="H20" s="131"/>
      <c r="I20" s="131"/>
      <c r="J20" s="131"/>
      <c r="K20" s="132"/>
      <c r="L20" s="132"/>
      <c r="M20" s="132"/>
    </row>
    <row r="21" spans="1:13" ht="18.75" x14ac:dyDescent="0.3">
      <c r="A21" s="23" t="s">
        <v>27</v>
      </c>
      <c r="B21" s="36"/>
      <c r="C21" s="37"/>
      <c r="D21" s="133"/>
      <c r="E21" s="133"/>
      <c r="F21" s="133"/>
      <c r="G21" s="133"/>
      <c r="H21" s="134"/>
      <c r="I21" s="134"/>
      <c r="J21" s="134"/>
      <c r="K21" s="135"/>
      <c r="L21" s="135"/>
      <c r="M21" s="135"/>
    </row>
    <row r="22" spans="1:13" x14ac:dyDescent="0.25">
      <c r="A22" t="s">
        <v>39</v>
      </c>
      <c r="B22" s="36"/>
      <c r="C22" s="37"/>
      <c r="D22" s="37"/>
      <c r="E22" s="37"/>
      <c r="F22" s="37"/>
      <c r="G22" s="37"/>
      <c r="H22" s="38"/>
      <c r="I22" s="38"/>
      <c r="J22" s="38"/>
      <c r="K22" s="39"/>
      <c r="L22" s="39"/>
      <c r="M22" s="39"/>
    </row>
    <row r="23" spans="1:13" ht="17.25" x14ac:dyDescent="0.3">
      <c r="B23" s="313"/>
      <c r="C23" s="313"/>
      <c r="D23" s="53"/>
      <c r="E23" s="41"/>
      <c r="F23" s="40"/>
      <c r="G23" s="21"/>
      <c r="H23" s="21"/>
      <c r="I23" s="38"/>
      <c r="J23" s="38"/>
      <c r="K23" s="39"/>
      <c r="L23" s="39"/>
      <c r="M23" s="39"/>
    </row>
    <row r="24" spans="1:13" ht="17.25" x14ac:dyDescent="0.3">
      <c r="B24" s="41"/>
      <c r="C24" s="40"/>
      <c r="D24" s="40"/>
      <c r="E24" s="52"/>
      <c r="F24" s="40"/>
      <c r="G24" s="21"/>
      <c r="H24" s="21"/>
      <c r="I24" s="38"/>
      <c r="J24" s="38"/>
      <c r="K24" s="39"/>
      <c r="L24" s="39"/>
      <c r="M24" s="39"/>
    </row>
    <row r="25" spans="1:13" ht="17.25" x14ac:dyDescent="0.3">
      <c r="C25" s="63"/>
      <c r="D25" s="31"/>
      <c r="E25" s="63"/>
      <c r="F25" s="21"/>
      <c r="G25" s="21"/>
      <c r="H25" s="21"/>
      <c r="I25" s="38"/>
      <c r="J25" s="38"/>
      <c r="K25" s="39"/>
      <c r="L25" s="39"/>
      <c r="M25" s="39"/>
    </row>
    <row r="26" spans="1:13" x14ac:dyDescent="0.25">
      <c r="E26" s="63"/>
    </row>
  </sheetData>
  <mergeCells count="5">
    <mergeCell ref="J2:K2"/>
    <mergeCell ref="H5:J6"/>
    <mergeCell ref="K5:M6"/>
    <mergeCell ref="B23:C23"/>
    <mergeCell ref="D5:G6"/>
  </mergeCells>
  <phoneticPr fontId="31" type="noConversion"/>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showGridLines="0" tabSelected="1" workbookViewId="0">
      <selection activeCell="N9" sqref="N9"/>
    </sheetView>
  </sheetViews>
  <sheetFormatPr baseColWidth="10" defaultRowHeight="15" x14ac:dyDescent="0.25"/>
  <cols>
    <col min="1" max="1" width="10.7109375" bestFit="1" customWidth="1"/>
    <col min="2" max="2" width="15.28515625" customWidth="1"/>
    <col min="13" max="13" width="15" customWidth="1"/>
    <col min="16" max="16" width="14.28515625" customWidth="1"/>
  </cols>
  <sheetData>
    <row r="1" spans="1:17" ht="15.75" x14ac:dyDescent="0.25">
      <c r="A1" s="273">
        <v>44421</v>
      </c>
      <c r="B1" s="328" t="s">
        <v>96</v>
      </c>
      <c r="C1" s="329"/>
      <c r="D1" s="329"/>
      <c r="E1" s="329"/>
      <c r="F1" s="329"/>
      <c r="G1" s="329"/>
      <c r="H1" s="329"/>
      <c r="I1" s="329"/>
      <c r="J1" s="329"/>
      <c r="K1" s="329"/>
      <c r="L1" s="329"/>
      <c r="M1" s="329"/>
      <c r="N1" s="329"/>
      <c r="O1" s="329"/>
      <c r="P1" s="329"/>
    </row>
    <row r="3" spans="1:17" ht="17.25" customHeight="1" x14ac:dyDescent="0.25">
      <c r="B3" s="249" t="s">
        <v>95</v>
      </c>
      <c r="C3" s="250" t="s">
        <v>102</v>
      </c>
      <c r="D3" s="250" t="s">
        <v>104</v>
      </c>
      <c r="E3" s="250" t="s">
        <v>103</v>
      </c>
      <c r="F3" s="250" t="s">
        <v>105</v>
      </c>
      <c r="G3" s="250" t="s">
        <v>106</v>
      </c>
      <c r="H3" s="250" t="s">
        <v>107</v>
      </c>
      <c r="I3" s="250" t="s">
        <v>108</v>
      </c>
      <c r="J3" s="250" t="s">
        <v>109</v>
      </c>
      <c r="K3" s="250" t="s">
        <v>110</v>
      </c>
      <c r="L3" s="263" t="s">
        <v>111</v>
      </c>
      <c r="M3" s="263" t="s">
        <v>126</v>
      </c>
      <c r="N3" s="263" t="s">
        <v>127</v>
      </c>
      <c r="O3" s="263" t="s">
        <v>20</v>
      </c>
      <c r="P3" s="245" t="s">
        <v>112</v>
      </c>
    </row>
    <row r="4" spans="1:17" x14ac:dyDescent="0.25">
      <c r="B4" s="251" t="s">
        <v>97</v>
      </c>
      <c r="C4" s="244">
        <v>492.97</v>
      </c>
      <c r="D4" s="244"/>
      <c r="E4" s="244"/>
      <c r="F4" s="244"/>
      <c r="G4" s="244"/>
      <c r="H4" s="244"/>
      <c r="I4" s="244"/>
      <c r="J4" s="244"/>
      <c r="K4" s="244"/>
      <c r="L4" s="244"/>
      <c r="M4" s="244"/>
      <c r="N4" s="244"/>
      <c r="O4" s="244"/>
      <c r="P4" s="246">
        <f>SUM(C4:K4)</f>
        <v>492.97</v>
      </c>
      <c r="Q4" s="261"/>
    </row>
    <row r="5" spans="1:17" x14ac:dyDescent="0.25">
      <c r="B5" s="251" t="s">
        <v>98</v>
      </c>
      <c r="C5" s="244"/>
      <c r="D5" s="244"/>
      <c r="E5" s="244"/>
      <c r="F5" s="244"/>
      <c r="G5" s="244"/>
      <c r="H5" s="244"/>
      <c r="I5" s="244"/>
      <c r="J5" s="244">
        <v>49.6</v>
      </c>
      <c r="K5" s="244"/>
      <c r="L5" s="244"/>
      <c r="M5" s="244"/>
      <c r="N5" s="244"/>
      <c r="O5" s="244"/>
      <c r="P5" s="246">
        <f>SUM(C5:K5)</f>
        <v>49.6</v>
      </c>
      <c r="Q5" s="261"/>
    </row>
    <row r="6" spans="1:17" x14ac:dyDescent="0.25">
      <c r="B6" s="251" t="s">
        <v>99</v>
      </c>
      <c r="C6" s="244">
        <v>473.77</v>
      </c>
      <c r="D6" s="244"/>
      <c r="E6" s="244"/>
      <c r="F6" s="244">
        <v>192</v>
      </c>
      <c r="G6" s="244"/>
      <c r="H6" s="244"/>
      <c r="I6" s="244"/>
      <c r="J6" s="244">
        <v>102.38</v>
      </c>
      <c r="K6" s="244">
        <v>1677.65</v>
      </c>
      <c r="L6" s="244"/>
      <c r="M6" s="244"/>
      <c r="N6" s="244"/>
      <c r="O6" s="244"/>
      <c r="P6" s="246">
        <f>SUM(C6:K6)</f>
        <v>2445.8000000000002</v>
      </c>
      <c r="Q6" s="261"/>
    </row>
    <row r="7" spans="1:17" x14ac:dyDescent="0.25">
      <c r="B7" s="251" t="s">
        <v>100</v>
      </c>
      <c r="C7" s="244">
        <v>1313.39</v>
      </c>
      <c r="D7" s="244"/>
      <c r="E7" s="244"/>
      <c r="F7" s="244">
        <v>169.21</v>
      </c>
      <c r="G7" s="244"/>
      <c r="H7" s="244"/>
      <c r="I7" s="244">
        <v>184.19</v>
      </c>
      <c r="J7" s="244">
        <v>51.84</v>
      </c>
      <c r="K7" s="244">
        <v>7368.61</v>
      </c>
      <c r="L7" s="244"/>
      <c r="M7" s="244"/>
      <c r="N7" s="244"/>
      <c r="O7" s="244"/>
      <c r="P7" s="246">
        <f>SUM(C7:K7)</f>
        <v>9087.24</v>
      </c>
      <c r="Q7" s="261"/>
    </row>
    <row r="8" spans="1:17" x14ac:dyDescent="0.25">
      <c r="B8" s="251" t="s">
        <v>101</v>
      </c>
      <c r="C8" s="244">
        <v>105094.55</v>
      </c>
      <c r="D8" s="244">
        <v>23.4</v>
      </c>
      <c r="E8" s="244"/>
      <c r="F8" s="244">
        <v>4646.59</v>
      </c>
      <c r="G8" s="244"/>
      <c r="H8" s="244"/>
      <c r="I8" s="244">
        <v>1970.42</v>
      </c>
      <c r="J8" s="244"/>
      <c r="K8" s="244">
        <v>62734.92</v>
      </c>
      <c r="L8" s="244">
        <v>16181.06</v>
      </c>
      <c r="M8" s="244">
        <v>30778.86</v>
      </c>
      <c r="N8" s="244">
        <v>4326.97</v>
      </c>
      <c r="O8" s="244">
        <v>6715.1</v>
      </c>
      <c r="P8" s="246">
        <f>SUM(C8:O8)</f>
        <v>232471.87</v>
      </c>
      <c r="Q8" s="261"/>
    </row>
    <row r="9" spans="1:17" ht="18.75" x14ac:dyDescent="0.25">
      <c r="B9" s="247" t="s">
        <v>115</v>
      </c>
      <c r="C9" s="246">
        <f>SUM(C4:C8)</f>
        <v>107374.68000000001</v>
      </c>
      <c r="D9" s="246">
        <f t="shared" ref="D9:P9" si="0">SUM(D4:D8)</f>
        <v>23.4</v>
      </c>
      <c r="E9" s="246">
        <f t="shared" si="0"/>
        <v>0</v>
      </c>
      <c r="F9" s="246">
        <f t="shared" si="0"/>
        <v>5007.8</v>
      </c>
      <c r="G9" s="246">
        <f t="shared" si="0"/>
        <v>0</v>
      </c>
      <c r="H9" s="246">
        <f t="shared" si="0"/>
        <v>0</v>
      </c>
      <c r="I9" s="246">
        <f t="shared" si="0"/>
        <v>2154.61</v>
      </c>
      <c r="J9" s="246">
        <f t="shared" si="0"/>
        <v>203.82</v>
      </c>
      <c r="K9" s="246">
        <f t="shared" si="0"/>
        <v>71781.179999999993</v>
      </c>
      <c r="L9" s="246">
        <f t="shared" si="0"/>
        <v>16181.06</v>
      </c>
      <c r="M9" s="246">
        <f t="shared" si="0"/>
        <v>30778.86</v>
      </c>
      <c r="N9" s="246">
        <f t="shared" si="0"/>
        <v>4326.97</v>
      </c>
      <c r="O9" s="246">
        <f t="shared" si="0"/>
        <v>6715.1</v>
      </c>
      <c r="P9" s="248">
        <f t="shared" si="0"/>
        <v>244547.47999999998</v>
      </c>
      <c r="Q9" s="261"/>
    </row>
    <row r="10" spans="1:17" ht="18.75" x14ac:dyDescent="0.25">
      <c r="B10" s="264"/>
      <c r="C10" s="265"/>
      <c r="D10" s="265"/>
      <c r="E10" s="265"/>
      <c r="F10" s="265"/>
      <c r="G10" s="265"/>
      <c r="H10" s="265"/>
      <c r="I10" s="265"/>
      <c r="J10" s="265"/>
      <c r="K10" s="265"/>
      <c r="L10" s="265"/>
      <c r="M10" s="266"/>
      <c r="N10" s="261"/>
    </row>
    <row r="11" spans="1:17" x14ac:dyDescent="0.25">
      <c r="B11" t="s">
        <v>128</v>
      </c>
      <c r="C11" s="267"/>
      <c r="F11" s="267"/>
      <c r="J11" s="267"/>
      <c r="K11" s="267"/>
      <c r="L11" s="268"/>
      <c r="M11" s="268"/>
      <c r="N11" s="268"/>
      <c r="O11" s="268"/>
    </row>
    <row r="12" spans="1:17" x14ac:dyDescent="0.25">
      <c r="B12" t="s">
        <v>129</v>
      </c>
      <c r="C12" s="267"/>
      <c r="F12" s="267"/>
      <c r="J12" s="267"/>
      <c r="K12" s="267"/>
      <c r="L12" s="268"/>
      <c r="M12" s="268"/>
      <c r="N12" s="268"/>
      <c r="O12" s="268"/>
    </row>
    <row r="13" spans="1:17" ht="6" customHeight="1" thickBot="1" x14ac:dyDescent="0.3">
      <c r="N13" s="261"/>
    </row>
    <row r="14" spans="1:17" ht="16.5" thickBot="1" x14ac:dyDescent="0.3">
      <c r="B14" s="322" t="s">
        <v>113</v>
      </c>
      <c r="C14" s="323"/>
      <c r="D14" s="323"/>
      <c r="E14" s="323"/>
      <c r="F14" s="323"/>
      <c r="G14" s="323"/>
      <c r="H14" s="323"/>
      <c r="I14" s="323"/>
      <c r="J14" s="323"/>
      <c r="K14" s="323"/>
      <c r="L14" s="323"/>
      <c r="M14" s="324"/>
      <c r="N14" s="261"/>
    </row>
    <row r="15" spans="1:17" x14ac:dyDescent="0.25">
      <c r="N15" s="261"/>
    </row>
    <row r="16" spans="1:17" x14ac:dyDescent="0.25">
      <c r="B16" s="249" t="s">
        <v>95</v>
      </c>
      <c r="C16" s="250" t="s">
        <v>102</v>
      </c>
      <c r="D16" s="250" t="s">
        <v>104</v>
      </c>
      <c r="E16" s="250" t="s">
        <v>103</v>
      </c>
      <c r="F16" s="250" t="s">
        <v>105</v>
      </c>
      <c r="G16" s="250" t="s">
        <v>106</v>
      </c>
      <c r="H16" s="250" t="s">
        <v>107</v>
      </c>
      <c r="I16" s="250" t="s">
        <v>108</v>
      </c>
      <c r="J16" s="250" t="s">
        <v>109</v>
      </c>
      <c r="K16" s="250" t="s">
        <v>110</v>
      </c>
      <c r="L16" s="250" t="s">
        <v>111</v>
      </c>
      <c r="M16" s="255" t="s">
        <v>112</v>
      </c>
      <c r="N16" s="261"/>
    </row>
    <row r="17" spans="2:15" x14ac:dyDescent="0.25">
      <c r="B17" s="251" t="s">
        <v>97</v>
      </c>
      <c r="C17" s="244">
        <v>3383.98</v>
      </c>
      <c r="D17" s="244">
        <v>430.5</v>
      </c>
      <c r="E17" s="244"/>
      <c r="F17" s="244"/>
      <c r="G17" s="244"/>
      <c r="H17" s="244"/>
      <c r="I17" s="244"/>
      <c r="J17" s="244">
        <v>4.8</v>
      </c>
      <c r="K17" s="244"/>
      <c r="L17" s="244"/>
      <c r="M17" s="253">
        <f>SUM(C17:L17)</f>
        <v>3819.28</v>
      </c>
      <c r="N17" s="261"/>
    </row>
    <row r="18" spans="2:15" x14ac:dyDescent="0.25">
      <c r="B18" s="251" t="s">
        <v>98</v>
      </c>
      <c r="C18" s="244"/>
      <c r="D18" s="244"/>
      <c r="E18" s="244"/>
      <c r="F18" s="244"/>
      <c r="G18" s="244"/>
      <c r="H18" s="244"/>
      <c r="I18" s="244"/>
      <c r="J18" s="244">
        <v>24</v>
      </c>
      <c r="K18" s="244"/>
      <c r="L18" s="244"/>
      <c r="M18" s="253">
        <f>SUM(C18:L18)</f>
        <v>24</v>
      </c>
      <c r="N18" s="261"/>
    </row>
    <row r="19" spans="2:15" x14ac:dyDescent="0.25">
      <c r="B19" s="251" t="s">
        <v>114</v>
      </c>
      <c r="C19" s="244">
        <v>3235.05</v>
      </c>
      <c r="D19" s="244">
        <v>116.22</v>
      </c>
      <c r="E19" s="244"/>
      <c r="F19" s="244"/>
      <c r="G19" s="244"/>
      <c r="H19" s="244"/>
      <c r="I19" s="244"/>
      <c r="J19" s="244">
        <v>15.75</v>
      </c>
      <c r="K19" s="244"/>
      <c r="L19" s="244"/>
      <c r="M19" s="253">
        <f t="shared" ref="M19:M21" si="1">SUM(C19:L19)</f>
        <v>3367.02</v>
      </c>
      <c r="N19" s="261"/>
    </row>
    <row r="20" spans="2:15" x14ac:dyDescent="0.25">
      <c r="B20" s="251" t="s">
        <v>99</v>
      </c>
      <c r="C20" s="244">
        <v>14554.39</v>
      </c>
      <c r="D20" s="244"/>
      <c r="E20" s="244">
        <v>42</v>
      </c>
      <c r="F20" s="244"/>
      <c r="G20" s="244"/>
      <c r="H20" s="244"/>
      <c r="I20" s="244"/>
      <c r="J20" s="244"/>
      <c r="K20" s="244"/>
      <c r="L20" s="244"/>
      <c r="M20" s="253">
        <f t="shared" si="1"/>
        <v>14596.39</v>
      </c>
    </row>
    <row r="21" spans="2:15" x14ac:dyDescent="0.25">
      <c r="B21" s="251" t="s">
        <v>100</v>
      </c>
      <c r="C21" s="244">
        <v>456</v>
      </c>
      <c r="D21" s="244"/>
      <c r="E21" s="244"/>
      <c r="F21" s="244"/>
      <c r="G21" s="244"/>
      <c r="H21" s="244"/>
      <c r="I21" s="244"/>
      <c r="J21" s="244"/>
      <c r="K21" s="244"/>
      <c r="L21" s="244"/>
      <c r="M21" s="253">
        <f t="shared" si="1"/>
        <v>456</v>
      </c>
      <c r="O21" s="64"/>
    </row>
    <row r="22" spans="2:15" ht="18.75" x14ac:dyDescent="0.25">
      <c r="B22" s="252" t="s">
        <v>116</v>
      </c>
      <c r="C22" s="253">
        <f t="shared" ref="C22:M22" si="2">SUM(C17:C21)</f>
        <v>21629.42</v>
      </c>
      <c r="D22" s="253">
        <f t="shared" si="2"/>
        <v>546.72</v>
      </c>
      <c r="E22" s="253">
        <f t="shared" si="2"/>
        <v>42</v>
      </c>
      <c r="F22" s="253">
        <f t="shared" si="2"/>
        <v>0</v>
      </c>
      <c r="G22" s="253">
        <f t="shared" si="2"/>
        <v>0</v>
      </c>
      <c r="H22" s="253">
        <f t="shared" si="2"/>
        <v>0</v>
      </c>
      <c r="I22" s="253">
        <f t="shared" si="2"/>
        <v>0</v>
      </c>
      <c r="J22" s="253">
        <f t="shared" si="2"/>
        <v>44.55</v>
      </c>
      <c r="K22" s="253">
        <f t="shared" si="2"/>
        <v>0</v>
      </c>
      <c r="L22" s="253">
        <f t="shared" si="2"/>
        <v>0</v>
      </c>
      <c r="M22" s="254">
        <f t="shared" si="2"/>
        <v>22262.69</v>
      </c>
    </row>
    <row r="23" spans="2:15" ht="15.75" thickBot="1" x14ac:dyDescent="0.3"/>
    <row r="24" spans="2:15" ht="16.5" thickBot="1" x14ac:dyDescent="0.3">
      <c r="B24" s="325" t="s">
        <v>117</v>
      </c>
      <c r="C24" s="326"/>
      <c r="D24" s="326"/>
      <c r="E24" s="326"/>
      <c r="F24" s="326"/>
      <c r="G24" s="326"/>
      <c r="H24" s="326"/>
      <c r="I24" s="326"/>
      <c r="J24" s="326"/>
      <c r="K24" s="326"/>
      <c r="L24" s="326"/>
      <c r="M24" s="327"/>
    </row>
    <row r="26" spans="2:15" x14ac:dyDescent="0.25">
      <c r="B26" s="249" t="s">
        <v>95</v>
      </c>
      <c r="C26" s="250" t="s">
        <v>102</v>
      </c>
      <c r="D26" s="250" t="s">
        <v>104</v>
      </c>
      <c r="E26" s="250" t="s">
        <v>103</v>
      </c>
      <c r="F26" s="250" t="s">
        <v>105</v>
      </c>
      <c r="G26" s="250" t="s">
        <v>106</v>
      </c>
      <c r="H26" s="250" t="s">
        <v>107</v>
      </c>
      <c r="I26" s="250" t="s">
        <v>108</v>
      </c>
      <c r="J26" s="250" t="s">
        <v>109</v>
      </c>
      <c r="K26" s="250" t="s">
        <v>110</v>
      </c>
      <c r="L26" s="250" t="s">
        <v>111</v>
      </c>
      <c r="M26" s="256" t="s">
        <v>112</v>
      </c>
    </row>
    <row r="27" spans="2:15" x14ac:dyDescent="0.25">
      <c r="B27" s="251" t="s">
        <v>98</v>
      </c>
      <c r="C27" s="244"/>
      <c r="D27" s="244">
        <v>23.07</v>
      </c>
      <c r="E27" s="244"/>
      <c r="F27" s="244"/>
      <c r="G27" s="244"/>
      <c r="H27" s="244"/>
      <c r="I27" s="244"/>
      <c r="J27" s="244">
        <v>2770.1</v>
      </c>
      <c r="K27" s="244"/>
      <c r="L27" s="244"/>
      <c r="M27" s="257">
        <f>SUM(C27:L27)</f>
        <v>2793.17</v>
      </c>
    </row>
    <row r="28" spans="2:15" x14ac:dyDescent="0.25">
      <c r="B28" s="251" t="s">
        <v>114</v>
      </c>
      <c r="C28" s="244">
        <v>595.34</v>
      </c>
      <c r="D28" s="244"/>
      <c r="E28" s="244"/>
      <c r="F28" s="244"/>
      <c r="G28" s="244"/>
      <c r="H28" s="244"/>
      <c r="I28" s="244"/>
      <c r="J28" s="244">
        <v>6130.66</v>
      </c>
      <c r="K28" s="244"/>
      <c r="L28" s="244"/>
      <c r="M28" s="257">
        <f t="shared" ref="M28:M29" si="3">SUM(C28:L28)</f>
        <v>6726</v>
      </c>
    </row>
    <row r="29" spans="2:15" x14ac:dyDescent="0.25">
      <c r="B29" s="251" t="s">
        <v>119</v>
      </c>
      <c r="C29" s="244"/>
      <c r="D29" s="244"/>
      <c r="E29" s="244"/>
      <c r="F29" s="244"/>
      <c r="G29" s="244"/>
      <c r="H29" s="244"/>
      <c r="I29" s="244"/>
      <c r="J29" s="244">
        <v>112</v>
      </c>
      <c r="K29" s="244"/>
      <c r="L29" s="244"/>
      <c r="M29" s="257">
        <f t="shared" si="3"/>
        <v>112</v>
      </c>
    </row>
    <row r="30" spans="2:15" ht="18.75" x14ac:dyDescent="0.25">
      <c r="B30" s="258" t="s">
        <v>118</v>
      </c>
      <c r="C30" s="257">
        <f t="shared" ref="C30:M30" si="4">SUM(C27:C29)</f>
        <v>595.34</v>
      </c>
      <c r="D30" s="257">
        <f t="shared" si="4"/>
        <v>23.07</v>
      </c>
      <c r="E30" s="257">
        <f t="shared" si="4"/>
        <v>0</v>
      </c>
      <c r="F30" s="257">
        <f t="shared" si="4"/>
        <v>0</v>
      </c>
      <c r="G30" s="257">
        <f t="shared" si="4"/>
        <v>0</v>
      </c>
      <c r="H30" s="257">
        <f t="shared" si="4"/>
        <v>0</v>
      </c>
      <c r="I30" s="257">
        <f t="shared" si="4"/>
        <v>0</v>
      </c>
      <c r="J30" s="257">
        <f t="shared" si="4"/>
        <v>9012.76</v>
      </c>
      <c r="K30" s="257">
        <f t="shared" si="4"/>
        <v>0</v>
      </c>
      <c r="L30" s="257">
        <f t="shared" si="4"/>
        <v>0</v>
      </c>
      <c r="M30" s="259">
        <f t="shared" si="4"/>
        <v>9631.17</v>
      </c>
    </row>
    <row r="31" spans="2:15" ht="15.75" thickBot="1" x14ac:dyDescent="0.3"/>
    <row r="32" spans="2:15" ht="19.5" thickBot="1" x14ac:dyDescent="0.35">
      <c r="B32" s="320" t="s">
        <v>120</v>
      </c>
      <c r="C32" s="321"/>
      <c r="D32" s="321"/>
      <c r="E32" s="321"/>
      <c r="F32" s="321"/>
      <c r="G32" s="321"/>
      <c r="H32" s="321"/>
      <c r="I32" s="321"/>
      <c r="J32" s="321"/>
      <c r="K32" s="321"/>
      <c r="L32" s="321"/>
      <c r="M32" s="260">
        <f>P9+M22+M30</f>
        <v>276441.33999999997</v>
      </c>
    </row>
    <row r="34" spans="2:2" x14ac:dyDescent="0.25">
      <c r="B34" t="s">
        <v>130</v>
      </c>
    </row>
    <row r="35" spans="2:2" x14ac:dyDescent="0.25">
      <c r="B35" t="s">
        <v>131</v>
      </c>
    </row>
  </sheetData>
  <mergeCells count="4">
    <mergeCell ref="B32:L32"/>
    <mergeCell ref="B14:M14"/>
    <mergeCell ref="B24:M24"/>
    <mergeCell ref="B1:P1"/>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B1:T24"/>
  <sheetViews>
    <sheetView showGridLines="0" topLeftCell="A4" zoomScaleNormal="100" workbookViewId="0">
      <selection activeCell="I14" sqref="I14"/>
    </sheetView>
  </sheetViews>
  <sheetFormatPr baseColWidth="10" defaultRowHeight="15" x14ac:dyDescent="0.25"/>
  <cols>
    <col min="1" max="1" width="5" customWidth="1"/>
    <col min="2" max="2" width="16.42578125" customWidth="1"/>
    <col min="3" max="3" width="36.7109375" customWidth="1"/>
    <col min="4" max="4" width="20.42578125" customWidth="1"/>
    <col min="5" max="5" width="3.140625" customWidth="1"/>
    <col min="6" max="6" width="17.85546875" customWidth="1"/>
    <col min="7" max="7" width="20.7109375" customWidth="1"/>
    <col min="8" max="8" width="15" customWidth="1"/>
    <col min="9" max="9" width="14.5703125" customWidth="1"/>
    <col min="10" max="10" width="14.140625" customWidth="1"/>
    <col min="17" max="17" width="13.42578125" customWidth="1"/>
    <col min="18" max="19" width="12.5703125" customWidth="1"/>
  </cols>
  <sheetData>
    <row r="1" spans="2:20" x14ac:dyDescent="0.25">
      <c r="F1" s="243"/>
      <c r="G1" s="243"/>
      <c r="H1" s="243"/>
      <c r="I1" s="243"/>
      <c r="J1" s="243"/>
      <c r="K1" s="243"/>
      <c r="L1" s="243"/>
      <c r="M1" s="243"/>
      <c r="N1" s="243"/>
      <c r="O1" s="243"/>
      <c r="P1" s="243"/>
      <c r="Q1" s="243"/>
      <c r="R1" s="243"/>
      <c r="S1" s="243"/>
      <c r="T1" s="243"/>
    </row>
    <row r="2" spans="2:20" x14ac:dyDescent="0.25">
      <c r="F2" s="243"/>
      <c r="G2" s="243"/>
      <c r="H2" s="243"/>
      <c r="I2" s="243"/>
      <c r="J2" s="243"/>
      <c r="K2" s="243"/>
      <c r="L2" s="243"/>
      <c r="M2" s="243"/>
      <c r="N2" s="243"/>
      <c r="O2" s="243"/>
      <c r="P2" s="243"/>
      <c r="Q2" s="243"/>
      <c r="R2" s="243"/>
      <c r="S2" s="243"/>
      <c r="T2" s="243"/>
    </row>
    <row r="3" spans="2:20" x14ac:dyDescent="0.25">
      <c r="F3" s="243"/>
      <c r="G3" s="243"/>
      <c r="H3" s="243"/>
      <c r="I3" s="243"/>
      <c r="J3" s="243"/>
      <c r="K3" s="243"/>
      <c r="L3" s="243"/>
      <c r="M3" s="243"/>
      <c r="N3" s="243"/>
      <c r="O3" s="243"/>
      <c r="P3" s="243"/>
      <c r="Q3" s="243"/>
      <c r="R3" s="243"/>
      <c r="S3" s="243"/>
      <c r="T3" s="243"/>
    </row>
    <row r="4" spans="2:20" ht="15.75" thickBot="1" x14ac:dyDescent="0.3">
      <c r="F4" s="243"/>
      <c r="G4" s="243"/>
      <c r="H4" s="243"/>
      <c r="I4" s="243"/>
      <c r="J4" s="243"/>
      <c r="K4" s="243"/>
      <c r="L4" s="243"/>
      <c r="M4" s="243"/>
      <c r="N4" s="243"/>
      <c r="O4" s="243"/>
      <c r="P4" s="243"/>
      <c r="Q4" s="243"/>
      <c r="R4" s="243"/>
      <c r="S4" s="243"/>
      <c r="T4" s="243"/>
    </row>
    <row r="5" spans="2:20" ht="16.5" thickBot="1" x14ac:dyDescent="0.3">
      <c r="F5" s="335" t="s">
        <v>141</v>
      </c>
      <c r="G5" s="336"/>
      <c r="H5" s="336"/>
      <c r="I5" s="336"/>
      <c r="J5" s="337"/>
      <c r="K5" s="243"/>
      <c r="L5" s="243"/>
      <c r="M5" s="243"/>
      <c r="N5" s="243"/>
      <c r="O5" s="243"/>
      <c r="P5" s="243"/>
      <c r="Q5" s="243"/>
      <c r="R5" s="243"/>
      <c r="S5" s="243"/>
      <c r="T5" s="243"/>
    </row>
    <row r="6" spans="2:20" ht="19.5" customHeight="1" thickBot="1" x14ac:dyDescent="0.3">
      <c r="B6" s="335" t="s">
        <v>139</v>
      </c>
      <c r="C6" s="341"/>
      <c r="D6" s="342"/>
      <c r="E6" s="24"/>
      <c r="F6" s="76"/>
      <c r="G6" s="76"/>
      <c r="H6" s="333" t="s">
        <v>87</v>
      </c>
      <c r="I6" s="334"/>
      <c r="J6" s="236" t="s">
        <v>88</v>
      </c>
      <c r="Q6" s="241" t="s">
        <v>87</v>
      </c>
      <c r="R6" s="241" t="s">
        <v>87</v>
      </c>
      <c r="S6" s="241" t="s">
        <v>88</v>
      </c>
      <c r="T6" s="243"/>
    </row>
    <row r="7" spans="2:20" ht="12" customHeight="1" thickBot="1" x14ac:dyDescent="0.3">
      <c r="B7" s="24"/>
      <c r="C7" s="24"/>
      <c r="D7" s="24"/>
      <c r="E7" s="24"/>
      <c r="F7" s="76"/>
      <c r="G7" s="76"/>
      <c r="H7" s="71" t="s">
        <v>143</v>
      </c>
      <c r="I7" s="71" t="s">
        <v>142</v>
      </c>
      <c r="J7" s="71" t="s">
        <v>142</v>
      </c>
      <c r="Q7" s="71" t="s">
        <v>143</v>
      </c>
      <c r="R7" s="71" t="s">
        <v>142</v>
      </c>
      <c r="S7" s="71" t="s">
        <v>142</v>
      </c>
      <c r="T7" s="243"/>
    </row>
    <row r="8" spans="2:20" ht="18.75" customHeight="1" thickBot="1" x14ac:dyDescent="0.3">
      <c r="B8" s="338" t="s">
        <v>140</v>
      </c>
      <c r="C8" s="25" t="s">
        <v>13</v>
      </c>
      <c r="D8" s="26" t="s">
        <v>34</v>
      </c>
      <c r="E8" s="24"/>
      <c r="F8" s="76"/>
      <c r="G8" s="69" t="s">
        <v>13</v>
      </c>
      <c r="H8" s="70" t="s">
        <v>34</v>
      </c>
      <c r="I8" s="70" t="s">
        <v>34</v>
      </c>
      <c r="J8" s="77" t="s">
        <v>34</v>
      </c>
      <c r="Q8" s="78" t="s">
        <v>28</v>
      </c>
      <c r="R8" s="78" t="s">
        <v>28</v>
      </c>
      <c r="S8" s="78" t="s">
        <v>28</v>
      </c>
      <c r="T8" s="243"/>
    </row>
    <row r="9" spans="2:20" ht="18" customHeight="1" thickBot="1" x14ac:dyDescent="0.3">
      <c r="B9" s="339"/>
      <c r="C9" s="27" t="s">
        <v>14</v>
      </c>
      <c r="D9" s="28">
        <f>'Expo Limon Mercados acum sem 32'!D8</f>
        <v>17290.015000000003</v>
      </c>
      <c r="E9" s="24"/>
      <c r="F9" s="330" t="s">
        <v>185</v>
      </c>
      <c r="G9" s="66" t="s">
        <v>29</v>
      </c>
      <c r="H9" s="79">
        <f>(Q9*15)/1000</f>
        <v>24136.424999999999</v>
      </c>
      <c r="I9" s="224">
        <f>(R9*15)/1000</f>
        <v>27243.435000000001</v>
      </c>
      <c r="J9" s="79">
        <f t="shared" ref="I9:J13" si="0">(S9*15)/1000</f>
        <v>27484.755000000001</v>
      </c>
      <c r="Q9" s="82">
        <v>1609095</v>
      </c>
      <c r="R9" s="82">
        <v>1816229</v>
      </c>
      <c r="S9" s="82">
        <v>1832317</v>
      </c>
      <c r="T9" s="243"/>
    </row>
    <row r="10" spans="2:20" ht="16.5" customHeight="1" thickBot="1" x14ac:dyDescent="0.3">
      <c r="B10" s="339"/>
      <c r="C10" s="27" t="s">
        <v>15</v>
      </c>
      <c r="D10" s="28">
        <f>'Expo Limon Mercados acum sem 32'!D9</f>
        <v>7461.0180000000073</v>
      </c>
      <c r="E10" s="24"/>
      <c r="F10" s="331"/>
      <c r="G10" s="67" t="s">
        <v>19</v>
      </c>
      <c r="H10" s="79">
        <f t="shared" ref="H10:H13" si="1">(Q10*15)/1000</f>
        <v>33287.025000000001</v>
      </c>
      <c r="I10" s="225">
        <f t="shared" si="0"/>
        <v>33913.455000000002</v>
      </c>
      <c r="J10" s="80">
        <f t="shared" si="0"/>
        <v>31242.674999999999</v>
      </c>
      <c r="Q10" s="83">
        <v>2219135</v>
      </c>
      <c r="R10" s="83">
        <v>2260897</v>
      </c>
      <c r="S10" s="83">
        <v>2082845</v>
      </c>
      <c r="T10" s="243"/>
    </row>
    <row r="11" spans="2:20" ht="18.75" customHeight="1" thickBot="1" x14ac:dyDescent="0.3">
      <c r="B11" s="339"/>
      <c r="C11" s="27" t="s">
        <v>16</v>
      </c>
      <c r="D11" s="28">
        <f>'Expo Limon Mercados acum sem 32'!D10</f>
        <v>16075.375999999995</v>
      </c>
      <c r="E11" s="24"/>
      <c r="F11" s="331"/>
      <c r="G11" s="67" t="s">
        <v>30</v>
      </c>
      <c r="H11" s="79">
        <f t="shared" si="1"/>
        <v>113219.625</v>
      </c>
      <c r="I11" s="225">
        <f t="shared" si="0"/>
        <v>130508.655</v>
      </c>
      <c r="J11" s="80">
        <f t="shared" si="0"/>
        <v>118621.2</v>
      </c>
      <c r="Q11" s="83">
        <v>7547975</v>
      </c>
      <c r="R11" s="83">
        <v>8700577</v>
      </c>
      <c r="S11" s="83">
        <v>7908080</v>
      </c>
    </row>
    <row r="12" spans="2:20" ht="16.5" thickBot="1" x14ac:dyDescent="0.3">
      <c r="B12" s="339"/>
      <c r="C12" s="27" t="s">
        <v>17</v>
      </c>
      <c r="D12" s="28">
        <f>'Expo Limon Mercados acum sem 32'!D11</f>
        <v>44982.909113999704</v>
      </c>
      <c r="E12" s="24"/>
      <c r="F12" s="331"/>
      <c r="G12" s="67" t="s">
        <v>36</v>
      </c>
      <c r="H12" s="79">
        <f t="shared" si="1"/>
        <v>17125.755000000001</v>
      </c>
      <c r="I12" s="225">
        <f t="shared" si="0"/>
        <v>17501.939999999999</v>
      </c>
      <c r="J12" s="80">
        <f t="shared" si="0"/>
        <v>14808.795</v>
      </c>
      <c r="Q12" s="83">
        <v>1141717</v>
      </c>
      <c r="R12" s="83">
        <v>1166796</v>
      </c>
      <c r="S12" s="83">
        <v>987253</v>
      </c>
    </row>
    <row r="13" spans="2:20" ht="16.5" thickBot="1" x14ac:dyDescent="0.3">
      <c r="B13" s="339"/>
      <c r="C13" s="65" t="s">
        <v>18</v>
      </c>
      <c r="D13" s="74">
        <f>SUM(D9:D12)</f>
        <v>85809.318113999703</v>
      </c>
      <c r="E13" s="24"/>
      <c r="F13" s="332"/>
      <c r="G13" s="68" t="s">
        <v>22</v>
      </c>
      <c r="H13" s="79">
        <f t="shared" si="1"/>
        <v>130470.48</v>
      </c>
      <c r="I13" s="226">
        <f t="shared" si="0"/>
        <v>136282.01999999999</v>
      </c>
      <c r="J13" s="81">
        <f t="shared" si="0"/>
        <v>145856.11499999999</v>
      </c>
      <c r="Q13" s="84">
        <f>119495+178982+6876833+1522722</f>
        <v>8698032</v>
      </c>
      <c r="R13" s="84">
        <f>126309+186466+7203176+1569517</f>
        <v>9085468</v>
      </c>
      <c r="S13" s="84">
        <f>137454+100673+8255758+1229856</f>
        <v>9723741</v>
      </c>
    </row>
    <row r="14" spans="2:20" ht="16.5" customHeight="1" thickBot="1" x14ac:dyDescent="0.3">
      <c r="B14" s="339"/>
      <c r="C14" s="29" t="s">
        <v>23</v>
      </c>
      <c r="D14" s="30">
        <f>'Expo Limon Mercados acum sem 32'!D15</f>
        <v>4326.9740000000011</v>
      </c>
      <c r="E14" s="24"/>
      <c r="F14" s="51"/>
      <c r="G14" s="42" t="s">
        <v>6</v>
      </c>
      <c r="H14" s="148">
        <f>SUM(H9:H13)</f>
        <v>318239.31</v>
      </c>
      <c r="I14" s="148">
        <f>SUM(I9:I13)</f>
        <v>345449.505</v>
      </c>
      <c r="J14" s="148">
        <f>SUM(J9:J13)</f>
        <v>338013.54000000004</v>
      </c>
      <c r="Q14" s="149">
        <f>SUM(Q9:Q13)</f>
        <v>21215954</v>
      </c>
      <c r="R14" s="149">
        <f>SUM(R9:R13)</f>
        <v>23029967</v>
      </c>
      <c r="S14" s="149">
        <f>SUM(S9:S13)</f>
        <v>22534236</v>
      </c>
    </row>
    <row r="15" spans="2:20" ht="15.75" x14ac:dyDescent="0.25">
      <c r="B15" s="339"/>
      <c r="C15" s="29" t="s">
        <v>19</v>
      </c>
      <c r="D15" s="30">
        <f>'Expo Limon Mercados acum sem 32'!D13</f>
        <v>30778.869099999858</v>
      </c>
      <c r="E15" s="24"/>
      <c r="F15" s="23" t="s">
        <v>27</v>
      </c>
    </row>
    <row r="16" spans="2:20" ht="18.75" x14ac:dyDescent="0.3">
      <c r="B16" s="339"/>
      <c r="C16" s="29" t="s">
        <v>20</v>
      </c>
      <c r="D16" s="30">
        <f>'Expo Limon Mercados acum sem 32'!D14</f>
        <v>6715.1059999999807</v>
      </c>
      <c r="E16" s="24"/>
      <c r="F16" t="s">
        <v>48</v>
      </c>
      <c r="G16" s="36"/>
      <c r="H16" s="5"/>
      <c r="I16" s="5"/>
      <c r="J16" s="5"/>
    </row>
    <row r="17" spans="2:5" ht="15.75" x14ac:dyDescent="0.25">
      <c r="B17" s="339"/>
      <c r="C17" s="29" t="s">
        <v>21</v>
      </c>
      <c r="D17" s="30">
        <f>'Expo Limon Mercados acum sem 32'!D16</f>
        <v>65196.264248000734</v>
      </c>
      <c r="E17" s="24"/>
    </row>
    <row r="18" spans="2:5" ht="16.5" customHeight="1" x14ac:dyDescent="0.25">
      <c r="B18" s="339"/>
      <c r="C18" s="29" t="s">
        <v>36</v>
      </c>
      <c r="D18" s="30">
        <v>7267.82</v>
      </c>
      <c r="E18" s="24"/>
    </row>
    <row r="19" spans="2:5" ht="16.5" thickBot="1" x14ac:dyDescent="0.3">
      <c r="B19" s="340"/>
      <c r="C19" s="29" t="s">
        <v>37</v>
      </c>
      <c r="D19" s="30">
        <f>'Expo Limon Mercados acum sem 32'!D17-D18</f>
        <v>16054.646700000114</v>
      </c>
      <c r="E19" s="31"/>
    </row>
    <row r="20" spans="2:5" ht="16.5" thickBot="1" x14ac:dyDescent="0.3">
      <c r="B20" s="24"/>
      <c r="C20" s="32" t="s">
        <v>35</v>
      </c>
      <c r="D20" s="33">
        <f>SUM(D14:D19)</f>
        <v>130339.68004800069</v>
      </c>
      <c r="E20" s="24"/>
    </row>
    <row r="21" spans="2:5" ht="19.5" thickBot="1" x14ac:dyDescent="0.3">
      <c r="B21" s="24"/>
      <c r="C21" s="34" t="s">
        <v>6</v>
      </c>
      <c r="D21" s="85">
        <f>+D13+D20</f>
        <v>216148.99816200038</v>
      </c>
      <c r="E21" s="24"/>
    </row>
    <row r="22" spans="2:5" ht="20.25" customHeight="1" thickTop="1" x14ac:dyDescent="0.3">
      <c r="B22" s="5"/>
      <c r="C22" s="5"/>
      <c r="D22" s="5"/>
      <c r="E22" s="5"/>
    </row>
    <row r="23" spans="2:5" ht="15.75" x14ac:dyDescent="0.25">
      <c r="B23" s="23" t="s">
        <v>38</v>
      </c>
      <c r="C23" s="36"/>
      <c r="D23" s="37"/>
      <c r="E23" s="37"/>
    </row>
    <row r="24" spans="2:5" ht="15.75" x14ac:dyDescent="0.25">
      <c r="B24" t="s">
        <v>40</v>
      </c>
      <c r="C24" s="36"/>
      <c r="D24" s="37"/>
      <c r="E24" s="37"/>
    </row>
  </sheetData>
  <mergeCells count="5">
    <mergeCell ref="F9:F13"/>
    <mergeCell ref="H6:I6"/>
    <mergeCell ref="F5:J5"/>
    <mergeCell ref="B8:B19"/>
    <mergeCell ref="B6:D6"/>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H17"/>
  <sheetViews>
    <sheetView showGridLines="0" zoomScaleNormal="100" workbookViewId="0">
      <selection activeCell="E20" sqref="E20"/>
    </sheetView>
  </sheetViews>
  <sheetFormatPr baseColWidth="10" defaultRowHeight="15" x14ac:dyDescent="0.25"/>
  <cols>
    <col min="1" max="1" width="6.5703125" customWidth="1"/>
    <col min="2" max="2" width="16.7109375" customWidth="1"/>
    <col min="3" max="4" width="14.7109375" customWidth="1"/>
    <col min="5" max="5" width="15.85546875" customWidth="1"/>
    <col min="6" max="6" width="16.140625" customWidth="1"/>
  </cols>
  <sheetData>
    <row r="1" spans="1:8" ht="15.75" x14ac:dyDescent="0.25">
      <c r="B1" s="24"/>
      <c r="C1" s="24"/>
      <c r="D1" s="24"/>
      <c r="E1" s="24"/>
      <c r="F1" s="24"/>
    </row>
    <row r="2" spans="1:8" ht="15.75" x14ac:dyDescent="0.25">
      <c r="B2" s="22" t="s">
        <v>187</v>
      </c>
      <c r="C2" s="22"/>
      <c r="D2" s="22"/>
      <c r="E2" s="22"/>
      <c r="F2" s="24"/>
    </row>
    <row r="3" spans="1:8" ht="16.5" thickBot="1" x14ac:dyDescent="0.3">
      <c r="B3" s="22"/>
      <c r="C3" s="22"/>
      <c r="D3" s="22"/>
      <c r="E3" s="22"/>
      <c r="F3" s="24"/>
    </row>
    <row r="4" spans="1:8" ht="16.5" thickBot="1" x14ac:dyDescent="0.3">
      <c r="B4" s="47"/>
      <c r="C4" s="48"/>
      <c r="D4" s="48"/>
      <c r="E4" s="49" t="s">
        <v>42</v>
      </c>
      <c r="F4" s="50" t="s">
        <v>43</v>
      </c>
    </row>
    <row r="5" spans="1:8" ht="15.75" x14ac:dyDescent="0.25">
      <c r="B5" s="347" t="s">
        <v>23</v>
      </c>
      <c r="C5" s="43" t="s">
        <v>32</v>
      </c>
      <c r="D5" s="44">
        <f>'Cargas RSA y ARG'!D14</f>
        <v>4326.9740000000011</v>
      </c>
      <c r="E5" s="343">
        <f>D5/D6-1</f>
        <v>-0.8411736992783766</v>
      </c>
      <c r="F5" s="349">
        <f>D5-D6</f>
        <v>-22916.460999999999</v>
      </c>
    </row>
    <row r="6" spans="1:8" ht="16.5" thickBot="1" x14ac:dyDescent="0.3">
      <c r="B6" s="348"/>
      <c r="C6" s="45" t="s">
        <v>33</v>
      </c>
      <c r="D6" s="46">
        <f>'Cargas RSA y ARG'!I9</f>
        <v>27243.435000000001</v>
      </c>
      <c r="E6" s="344"/>
      <c r="F6" s="350"/>
      <c r="H6" s="64"/>
    </row>
    <row r="7" spans="1:8" ht="15.75" x14ac:dyDescent="0.25">
      <c r="B7" s="347" t="s">
        <v>30</v>
      </c>
      <c r="C7" s="43" t="s">
        <v>32</v>
      </c>
      <c r="D7" s="44">
        <f>'Cargas RSA y ARG'!D13</f>
        <v>85809.318113999703</v>
      </c>
      <c r="E7" s="343">
        <f t="shared" ref="E7:E13" si="0">D7/D8-1</f>
        <v>-0.3425009390066911</v>
      </c>
      <c r="F7" s="349">
        <f>D7-D8</f>
        <v>-44699.336886000296</v>
      </c>
    </row>
    <row r="8" spans="1:8" ht="16.5" customHeight="1" thickBot="1" x14ac:dyDescent="0.3">
      <c r="B8" s="348"/>
      <c r="C8" s="45" t="s">
        <v>33</v>
      </c>
      <c r="D8" s="46">
        <f>'Cargas RSA y ARG'!I11</f>
        <v>130508.655</v>
      </c>
      <c r="E8" s="344"/>
      <c r="F8" s="350"/>
    </row>
    <row r="9" spans="1:8" ht="15.75" x14ac:dyDescent="0.25">
      <c r="B9" s="347" t="s">
        <v>19</v>
      </c>
      <c r="C9" s="43" t="s">
        <v>32</v>
      </c>
      <c r="D9" s="44">
        <f>'Cargas RSA y ARG'!D15</f>
        <v>30778.869099999858</v>
      </c>
      <c r="E9" s="343">
        <f t="shared" si="0"/>
        <v>-9.2428975461218643E-2</v>
      </c>
      <c r="F9" s="349">
        <f>D9-D10</f>
        <v>-3134.5859000001437</v>
      </c>
    </row>
    <row r="10" spans="1:8" ht="16.5" customHeight="1" thickBot="1" x14ac:dyDescent="0.3">
      <c r="B10" s="348"/>
      <c r="C10" s="45" t="s">
        <v>33</v>
      </c>
      <c r="D10" s="46">
        <f>'Cargas RSA y ARG'!I10</f>
        <v>33913.455000000002</v>
      </c>
      <c r="E10" s="344"/>
      <c r="F10" s="350"/>
    </row>
    <row r="11" spans="1:8" ht="15.75" x14ac:dyDescent="0.25">
      <c r="B11" s="347" t="s">
        <v>186</v>
      </c>
      <c r="C11" s="43" t="s">
        <v>32</v>
      </c>
      <c r="D11" s="44">
        <f>'Cargas RSA y ARG'!D18+'Expo Limon Mercados acum sem 32'!D16</f>
        <v>72464.084248000727</v>
      </c>
      <c r="E11" s="345">
        <f t="shared" si="0"/>
        <v>3.1403458272626192</v>
      </c>
      <c r="F11" s="351">
        <f>D11-D12</f>
        <v>54962.144248000724</v>
      </c>
    </row>
    <row r="12" spans="1:8" ht="16.5" thickBot="1" x14ac:dyDescent="0.3">
      <c r="B12" s="348"/>
      <c r="C12" s="45" t="s">
        <v>33</v>
      </c>
      <c r="D12" s="46">
        <f>'Cargas RSA y ARG'!I12</f>
        <v>17501.939999999999</v>
      </c>
      <c r="E12" s="346"/>
      <c r="F12" s="352"/>
    </row>
    <row r="13" spans="1:8" ht="15.75" x14ac:dyDescent="0.25">
      <c r="B13" s="347" t="s">
        <v>31</v>
      </c>
      <c r="C13" s="43" t="s">
        <v>32</v>
      </c>
      <c r="D13" s="44">
        <f>'Cargas RSA y ARG'!D19</f>
        <v>16054.646700000114</v>
      </c>
      <c r="E13" s="343">
        <f t="shared" si="0"/>
        <v>-0.88219541580026395</v>
      </c>
      <c r="F13" s="349">
        <f>D13-D14</f>
        <v>-120227.37329999988</v>
      </c>
    </row>
    <row r="14" spans="1:8" ht="16.5" thickBot="1" x14ac:dyDescent="0.3">
      <c r="B14" s="348"/>
      <c r="C14" s="45" t="s">
        <v>33</v>
      </c>
      <c r="D14" s="46">
        <f>'Cargas RSA y ARG'!I13</f>
        <v>136282.01999999999</v>
      </c>
      <c r="E14" s="344"/>
      <c r="F14" s="350"/>
    </row>
    <row r="15" spans="1:8" ht="18.75" x14ac:dyDescent="0.3">
      <c r="B15" s="5"/>
      <c r="C15" s="5"/>
      <c r="D15" s="5"/>
      <c r="E15" s="5"/>
    </row>
    <row r="16" spans="1:8" ht="18.75" x14ac:dyDescent="0.3">
      <c r="A16" s="23" t="s">
        <v>38</v>
      </c>
      <c r="B16" s="36"/>
      <c r="C16" s="5"/>
      <c r="D16" s="5"/>
      <c r="E16" s="5"/>
    </row>
    <row r="17" spans="1:2" ht="15.75" x14ac:dyDescent="0.25">
      <c r="A17" t="s">
        <v>47</v>
      </c>
      <c r="B17" s="36"/>
    </row>
  </sheetData>
  <mergeCells count="15">
    <mergeCell ref="F5:F6"/>
    <mergeCell ref="F7:F8"/>
    <mergeCell ref="F9:F10"/>
    <mergeCell ref="F11:F12"/>
    <mergeCell ref="F13:F14"/>
    <mergeCell ref="B5:B6"/>
    <mergeCell ref="B7:B8"/>
    <mergeCell ref="B9:B10"/>
    <mergeCell ref="B11:B12"/>
    <mergeCell ref="B13:B14"/>
    <mergeCell ref="E5:E6"/>
    <mergeCell ref="E7:E8"/>
    <mergeCell ref="E9:E10"/>
    <mergeCell ref="E11:E12"/>
    <mergeCell ref="E13:E14"/>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11"/>
  <sheetViews>
    <sheetView workbookViewId="0">
      <selection activeCell="M10" sqref="M10"/>
    </sheetView>
  </sheetViews>
  <sheetFormatPr baseColWidth="10" defaultRowHeight="15" x14ac:dyDescent="0.25"/>
  <cols>
    <col min="2" max="2" width="16.28515625" customWidth="1"/>
  </cols>
  <sheetData>
    <row r="2" spans="1:15" ht="15.75" thickBot="1" x14ac:dyDescent="0.3"/>
    <row r="3" spans="1:15" ht="15.75" thickBot="1" x14ac:dyDescent="0.3">
      <c r="B3" s="274" t="s">
        <v>188</v>
      </c>
      <c r="C3" s="275">
        <v>22</v>
      </c>
      <c r="D3" s="275">
        <v>23</v>
      </c>
      <c r="E3" s="275">
        <v>24</v>
      </c>
      <c r="F3" s="275">
        <v>25</v>
      </c>
      <c r="G3" s="275">
        <v>26</v>
      </c>
      <c r="H3" s="275">
        <v>27</v>
      </c>
      <c r="I3" s="275">
        <v>28</v>
      </c>
      <c r="J3" s="275">
        <v>29</v>
      </c>
      <c r="K3" s="275">
        <v>30</v>
      </c>
      <c r="L3" s="276">
        <v>31</v>
      </c>
      <c r="M3" s="276">
        <v>32</v>
      </c>
      <c r="N3" s="276">
        <v>33</v>
      </c>
      <c r="O3" s="276">
        <v>34</v>
      </c>
    </row>
    <row r="4" spans="1:15" x14ac:dyDescent="0.25">
      <c r="A4" s="277" t="s">
        <v>189</v>
      </c>
      <c r="B4" s="278" t="s">
        <v>21</v>
      </c>
      <c r="C4" s="279">
        <v>18869.05</v>
      </c>
      <c r="D4" s="185">
        <f>5947.5908+C4</f>
        <v>24816.640800000001</v>
      </c>
      <c r="E4" s="185">
        <f>5806.2722+D4</f>
        <v>30622.913</v>
      </c>
      <c r="F4" s="185">
        <f>4428.1592+E4</f>
        <v>35051.072200000002</v>
      </c>
      <c r="G4" s="185">
        <f>6463.2186+F4</f>
        <v>41514.290800000002</v>
      </c>
      <c r="H4" s="185">
        <f>4210.057+G4</f>
        <v>45724.347800000003</v>
      </c>
      <c r="I4" s="185">
        <f>4931.57+H4</f>
        <v>50655.917800000003</v>
      </c>
      <c r="J4" s="185">
        <f>5279.4+I4</f>
        <v>55935.317800000004</v>
      </c>
      <c r="K4" s="185">
        <f>4517.761+J4</f>
        <v>60453.078800000003</v>
      </c>
      <c r="L4" s="280">
        <f>2983.5216+K4</f>
        <v>63436.600400000003</v>
      </c>
      <c r="M4" s="280">
        <f>1759.652+L4</f>
        <v>65196.252400000005</v>
      </c>
      <c r="N4" s="281"/>
      <c r="O4" s="282"/>
    </row>
    <row r="5" spans="1:15" x14ac:dyDescent="0.25">
      <c r="B5" s="283" t="s">
        <v>62</v>
      </c>
      <c r="C5" s="279">
        <v>5973.98</v>
      </c>
      <c r="D5" s="185">
        <f>4268.103+C5</f>
        <v>10242.082999999999</v>
      </c>
      <c r="E5" s="185">
        <f>5785.992+D5</f>
        <v>16028.074999999999</v>
      </c>
      <c r="F5" s="185">
        <f>8392.48600000001+E5</f>
        <v>24420.561000000009</v>
      </c>
      <c r="G5" s="185">
        <f>12017.23+F5</f>
        <v>36437.791000000012</v>
      </c>
      <c r="H5" s="185">
        <f>4390.269+G5</f>
        <v>40828.060000000012</v>
      </c>
      <c r="I5" s="185">
        <f>10775.809+H5</f>
        <v>51603.869000000013</v>
      </c>
      <c r="J5" s="185">
        <f>6954.097+I5</f>
        <v>58557.966000000015</v>
      </c>
      <c r="K5" s="185">
        <f>11650.779+J5</f>
        <v>70208.74500000001</v>
      </c>
      <c r="L5" s="279">
        <f>11048.36+K5</f>
        <v>81257.10500000001</v>
      </c>
      <c r="M5" s="279">
        <f>4552.2+L5</f>
        <v>85809.305000000008</v>
      </c>
      <c r="N5" s="284"/>
      <c r="O5" s="285"/>
    </row>
    <row r="6" spans="1:15" x14ac:dyDescent="0.25">
      <c r="B6" s="283" t="s">
        <v>190</v>
      </c>
      <c r="C6" s="279">
        <v>15710.267</v>
      </c>
      <c r="D6" s="185">
        <f>2135.19+C6</f>
        <v>17845.456999999999</v>
      </c>
      <c r="E6" s="185">
        <f>761.634+D6</f>
        <v>18607.091</v>
      </c>
      <c r="F6" s="185">
        <f>2165.154+E6</f>
        <v>20772.244999999999</v>
      </c>
      <c r="G6" s="185">
        <f>2004.552+F6</f>
        <v>22776.796999999999</v>
      </c>
      <c r="H6" s="185">
        <f>1327.518+G6</f>
        <v>24104.314999999999</v>
      </c>
      <c r="I6" s="185">
        <f>1504.9391+H6</f>
        <v>25609.254099999998</v>
      </c>
      <c r="J6" s="185">
        <f>830.319+I6</f>
        <v>26439.573099999998</v>
      </c>
      <c r="K6" s="185">
        <f>2118.024+J6</f>
        <v>28557.597099999999</v>
      </c>
      <c r="L6" s="279">
        <f>1635.714+K6</f>
        <v>30193.311099999999</v>
      </c>
      <c r="M6" s="279">
        <f>585.558+L6</f>
        <v>30778.8691</v>
      </c>
      <c r="N6" s="284"/>
      <c r="O6" s="285"/>
    </row>
    <row r="7" spans="1:15" ht="15.75" thickBot="1" x14ac:dyDescent="0.3">
      <c r="B7" s="286" t="s">
        <v>191</v>
      </c>
      <c r="C7" s="279">
        <v>13970.4</v>
      </c>
      <c r="D7" s="185">
        <f>3642.5264+C7</f>
        <v>17612.9264</v>
      </c>
      <c r="E7" s="185">
        <f>1999.5376+D7</f>
        <v>19612.464</v>
      </c>
      <c r="F7" s="185">
        <f>1940.2308+E7</f>
        <v>21552.694800000001</v>
      </c>
      <c r="G7" s="185">
        <f>2818.5048+F7</f>
        <v>24371.1996</v>
      </c>
      <c r="H7" s="185">
        <f>2074.86+G7</f>
        <v>26446.059600000001</v>
      </c>
      <c r="I7" s="185">
        <f>1817.7888+H7</f>
        <v>28263.848399999999</v>
      </c>
      <c r="J7" s="185">
        <f>1354.04+I7</f>
        <v>29617.8884</v>
      </c>
      <c r="K7" s="185">
        <f>1658.89+J7</f>
        <v>31276.778399999999</v>
      </c>
      <c r="L7" s="287">
        <f>2278.9568+K7</f>
        <v>33555.735199999996</v>
      </c>
      <c r="M7" s="287">
        <f>808.806+L7</f>
        <v>34364.541199999992</v>
      </c>
      <c r="N7" s="288"/>
      <c r="O7" s="289"/>
    </row>
    <row r="8" spans="1:15" ht="15.75" thickBot="1" x14ac:dyDescent="0.3">
      <c r="B8" s="290" t="s">
        <v>112</v>
      </c>
      <c r="C8" s="291">
        <f t="shared" ref="C8:L8" si="0">SUM(C4:C7)</f>
        <v>54523.697</v>
      </c>
      <c r="D8" s="291">
        <f t="shared" si="0"/>
        <v>70517.107199999999</v>
      </c>
      <c r="E8" s="291">
        <f t="shared" si="0"/>
        <v>84870.543000000005</v>
      </c>
      <c r="F8" s="291">
        <f t="shared" si="0"/>
        <v>101796.573</v>
      </c>
      <c r="G8" s="291">
        <f t="shared" si="0"/>
        <v>125100.0784</v>
      </c>
      <c r="H8" s="291">
        <f t="shared" si="0"/>
        <v>137102.78240000003</v>
      </c>
      <c r="I8" s="291">
        <f t="shared" si="0"/>
        <v>156132.88930000001</v>
      </c>
      <c r="J8" s="291">
        <f t="shared" si="0"/>
        <v>170550.74530000001</v>
      </c>
      <c r="K8" s="291">
        <f t="shared" si="0"/>
        <v>190496.19930000004</v>
      </c>
      <c r="L8" s="292">
        <f t="shared" si="0"/>
        <v>208442.75169999999</v>
      </c>
      <c r="M8" s="292">
        <f>SUM(M4:M7)</f>
        <v>216148.96770000004</v>
      </c>
      <c r="N8" s="293"/>
      <c r="O8" s="294"/>
    </row>
    <row r="9" spans="1:15" x14ac:dyDescent="0.25">
      <c r="B9" s="295" t="s">
        <v>192</v>
      </c>
      <c r="C9" s="280"/>
      <c r="D9" s="280">
        <f>+D8-C8</f>
        <v>15993.410199999998</v>
      </c>
      <c r="E9" s="280">
        <f>+E8-D8</f>
        <v>14353.435800000007</v>
      </c>
      <c r="F9" s="280">
        <f>+F8-E8</f>
        <v>16926.03</v>
      </c>
      <c r="G9" s="280">
        <f t="shared" ref="G9:J9" si="1">+G8-F8</f>
        <v>23303.505399999995</v>
      </c>
      <c r="H9" s="280">
        <f t="shared" si="1"/>
        <v>12002.704000000027</v>
      </c>
      <c r="I9" s="280">
        <f t="shared" si="1"/>
        <v>19030.106899999984</v>
      </c>
      <c r="J9" s="280">
        <f t="shared" si="1"/>
        <v>14417.856</v>
      </c>
      <c r="K9" s="280">
        <f>+K8-J8</f>
        <v>19945.454000000027</v>
      </c>
      <c r="L9" s="280">
        <f>+L8-K8</f>
        <v>17946.552399999957</v>
      </c>
      <c r="M9" s="280">
        <f>+M8-L8</f>
        <v>7706.216000000044</v>
      </c>
      <c r="N9" s="281"/>
      <c r="O9" s="282"/>
    </row>
    <row r="10" spans="1:15" x14ac:dyDescent="0.25">
      <c r="B10" s="296" t="s">
        <v>193</v>
      </c>
      <c r="C10" s="279"/>
      <c r="D10" s="279">
        <f>+D4-C4</f>
        <v>5947.5908000000018</v>
      </c>
      <c r="E10" s="279">
        <f t="shared" ref="E10:M11" si="2">+E4-D4</f>
        <v>5806.2721999999994</v>
      </c>
      <c r="F10" s="279">
        <f t="shared" si="2"/>
        <v>4428.1592000000019</v>
      </c>
      <c r="G10" s="279">
        <f t="shared" si="2"/>
        <v>6463.2186000000002</v>
      </c>
      <c r="H10" s="279">
        <f t="shared" si="2"/>
        <v>4210.0570000000007</v>
      </c>
      <c r="I10" s="279">
        <f t="shared" si="2"/>
        <v>4931.57</v>
      </c>
      <c r="J10" s="279">
        <f t="shared" si="2"/>
        <v>5279.4000000000015</v>
      </c>
      <c r="K10" s="279">
        <f t="shared" si="2"/>
        <v>4517.7609999999986</v>
      </c>
      <c r="L10" s="279">
        <f t="shared" si="2"/>
        <v>2983.5216</v>
      </c>
      <c r="M10" s="279">
        <f t="shared" si="2"/>
        <v>1759.6520000000019</v>
      </c>
      <c r="N10" s="284"/>
      <c r="O10" s="285"/>
    </row>
    <row r="11" spans="1:15" ht="15.75" thickBot="1" x14ac:dyDescent="0.3">
      <c r="B11" s="297" t="s">
        <v>194</v>
      </c>
      <c r="C11" s="298"/>
      <c r="D11" s="298">
        <f>+D5-C5</f>
        <v>4268.1029999999992</v>
      </c>
      <c r="E11" s="298">
        <f t="shared" si="2"/>
        <v>5785.9920000000002</v>
      </c>
      <c r="F11" s="298">
        <f t="shared" si="2"/>
        <v>8392.4860000000099</v>
      </c>
      <c r="G11" s="298">
        <f t="shared" si="2"/>
        <v>12017.230000000003</v>
      </c>
      <c r="H11" s="298">
        <f t="shared" si="2"/>
        <v>4390.2690000000002</v>
      </c>
      <c r="I11" s="298">
        <f t="shared" si="2"/>
        <v>10775.809000000001</v>
      </c>
      <c r="J11" s="298">
        <f t="shared" si="2"/>
        <v>6954.0970000000016</v>
      </c>
      <c r="K11" s="298">
        <f t="shared" si="2"/>
        <v>11650.778999999995</v>
      </c>
      <c r="L11" s="298">
        <f t="shared" si="2"/>
        <v>11048.36</v>
      </c>
      <c r="M11" s="298">
        <f t="shared" si="2"/>
        <v>4552.1999999999971</v>
      </c>
      <c r="N11" s="299"/>
      <c r="O11" s="300"/>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31"/>
  <sheetViews>
    <sheetView showGridLines="0" topLeftCell="A4" workbookViewId="0">
      <selection activeCell="J20" sqref="J20"/>
    </sheetView>
  </sheetViews>
  <sheetFormatPr baseColWidth="10" defaultRowHeight="15" x14ac:dyDescent="0.25"/>
  <cols>
    <col min="2" max="2" width="20.42578125" customWidth="1"/>
    <col min="3" max="3" width="6.85546875" customWidth="1"/>
    <col min="4" max="4" width="7.42578125" customWidth="1"/>
    <col min="5" max="5" width="6.7109375" customWidth="1"/>
    <col min="6" max="6" width="9.5703125" customWidth="1"/>
    <col min="7" max="7" width="9.7109375" customWidth="1"/>
    <col min="8" max="8" width="16.5703125" customWidth="1"/>
    <col min="9" max="9" width="12.7109375" customWidth="1"/>
    <col min="11" max="11" width="16" customWidth="1"/>
    <col min="12" max="12" width="14.85546875" customWidth="1"/>
  </cols>
  <sheetData>
    <row r="2" spans="2:13" ht="18.75" x14ac:dyDescent="0.3">
      <c r="B2" s="353" t="s">
        <v>144</v>
      </c>
      <c r="C2" s="353"/>
      <c r="D2" s="353"/>
      <c r="E2" s="353"/>
      <c r="F2" s="353"/>
      <c r="G2" s="353"/>
      <c r="H2" s="353"/>
      <c r="I2" s="353"/>
      <c r="J2" s="353"/>
      <c r="K2" s="353"/>
      <c r="L2" s="186"/>
      <c r="M2" s="186"/>
    </row>
    <row r="3" spans="2:13" x14ac:dyDescent="0.25">
      <c r="B3" s="150"/>
      <c r="C3" s="150"/>
      <c r="D3" s="150"/>
      <c r="E3" s="150"/>
      <c r="F3" s="150"/>
      <c r="G3" s="150"/>
      <c r="H3" s="150"/>
      <c r="I3" s="150"/>
      <c r="J3" s="150"/>
      <c r="K3" s="150"/>
      <c r="L3" s="150"/>
      <c r="M3" s="150"/>
    </row>
    <row r="4" spans="2:13" ht="15" customHeight="1" x14ac:dyDescent="0.25">
      <c r="C4" s="363" t="s">
        <v>67</v>
      </c>
      <c r="D4" s="364"/>
      <c r="E4" s="359" t="s">
        <v>52</v>
      </c>
      <c r="F4" s="361" t="s">
        <v>53</v>
      </c>
      <c r="G4" s="362"/>
      <c r="H4" s="359" t="s">
        <v>54</v>
      </c>
      <c r="I4" s="151" t="s">
        <v>55</v>
      </c>
      <c r="J4" s="359" t="s">
        <v>56</v>
      </c>
      <c r="K4" s="218" t="s">
        <v>57</v>
      </c>
    </row>
    <row r="5" spans="2:13" x14ac:dyDescent="0.25">
      <c r="B5" s="152" t="s">
        <v>58</v>
      </c>
      <c r="C5" s="153" t="s">
        <v>59</v>
      </c>
      <c r="D5" s="153" t="s">
        <v>60</v>
      </c>
      <c r="E5" s="360"/>
      <c r="F5" s="153" t="s">
        <v>59</v>
      </c>
      <c r="G5" s="153" t="s">
        <v>60</v>
      </c>
      <c r="H5" s="360"/>
      <c r="I5" s="153" t="s">
        <v>60</v>
      </c>
      <c r="J5" s="360"/>
      <c r="K5" s="219"/>
    </row>
    <row r="6" spans="2:13" x14ac:dyDescent="0.25">
      <c r="B6" s="154" t="s">
        <v>61</v>
      </c>
      <c r="C6" s="155"/>
      <c r="D6" s="155"/>
      <c r="E6" s="156">
        <f>SUM(C6:D6)</f>
        <v>0</v>
      </c>
      <c r="F6" s="155"/>
      <c r="G6" s="155"/>
      <c r="H6" s="160">
        <f>SUM(F6:G6)</f>
        <v>0</v>
      </c>
      <c r="I6" s="155">
        <v>4</v>
      </c>
      <c r="J6" s="156">
        <f>I6</f>
        <v>4</v>
      </c>
      <c r="K6" s="157">
        <f>E6+H6+J6</f>
        <v>4</v>
      </c>
    </row>
    <row r="7" spans="2:13" x14ac:dyDescent="0.25">
      <c r="B7" s="158" t="s">
        <v>62</v>
      </c>
      <c r="C7" s="231">
        <v>37</v>
      </c>
      <c r="D7" s="231">
        <v>17</v>
      </c>
      <c r="E7" s="156">
        <f>SUM(C7:D7)</f>
        <v>54</v>
      </c>
      <c r="F7" s="159">
        <v>12</v>
      </c>
      <c r="G7" s="159">
        <v>2</v>
      </c>
      <c r="H7" s="160">
        <f>SUM(F7:G7)</f>
        <v>14</v>
      </c>
      <c r="I7" s="159"/>
      <c r="J7" s="156">
        <f t="shared" ref="J7:J9" si="0">I7</f>
        <v>0</v>
      </c>
      <c r="K7" s="161">
        <f>H7+E7+J7</f>
        <v>68</v>
      </c>
    </row>
    <row r="8" spans="2:13" x14ac:dyDescent="0.25">
      <c r="B8" s="228" t="s">
        <v>89</v>
      </c>
      <c r="C8" s="232"/>
      <c r="D8" s="232">
        <v>1</v>
      </c>
      <c r="E8" s="156">
        <f>SUM(C8:D8)</f>
        <v>1</v>
      </c>
      <c r="F8" s="229"/>
      <c r="G8" s="229"/>
      <c r="H8" s="160">
        <f t="shared" ref="H8:H9" si="1">SUM(F8:G8)</f>
        <v>0</v>
      </c>
      <c r="I8" s="229"/>
      <c r="J8" s="156">
        <f t="shared" si="0"/>
        <v>0</v>
      </c>
      <c r="K8" s="230">
        <f>E8+H8+J8</f>
        <v>1</v>
      </c>
    </row>
    <row r="9" spans="2:13" x14ac:dyDescent="0.25">
      <c r="B9" s="162" t="s">
        <v>21</v>
      </c>
      <c r="C9" s="227">
        <v>18</v>
      </c>
      <c r="D9" s="227">
        <v>20</v>
      </c>
      <c r="E9" s="156">
        <f>SUM(C9:D9)</f>
        <v>38</v>
      </c>
      <c r="F9" s="163"/>
      <c r="G9" s="163"/>
      <c r="H9" s="160">
        <f t="shared" si="1"/>
        <v>0</v>
      </c>
      <c r="I9" s="163"/>
      <c r="J9" s="156">
        <f t="shared" si="0"/>
        <v>0</v>
      </c>
      <c r="K9" s="164">
        <f>E9+H9+J9</f>
        <v>38</v>
      </c>
    </row>
    <row r="10" spans="2:13" x14ac:dyDescent="0.25">
      <c r="B10" s="165" t="s">
        <v>57</v>
      </c>
      <c r="C10" s="166">
        <f t="shared" ref="C10:K10" si="2">SUM(C6:C9)</f>
        <v>55</v>
      </c>
      <c r="D10" s="166">
        <f t="shared" si="2"/>
        <v>38</v>
      </c>
      <c r="E10" s="166">
        <f t="shared" si="2"/>
        <v>93</v>
      </c>
      <c r="F10" s="166">
        <f t="shared" si="2"/>
        <v>12</v>
      </c>
      <c r="G10" s="166">
        <f t="shared" si="2"/>
        <v>2</v>
      </c>
      <c r="H10" s="166">
        <f t="shared" si="2"/>
        <v>14</v>
      </c>
      <c r="I10" s="166">
        <f t="shared" si="2"/>
        <v>4</v>
      </c>
      <c r="J10" s="166">
        <f t="shared" si="2"/>
        <v>4</v>
      </c>
      <c r="K10" s="166">
        <f t="shared" si="2"/>
        <v>111</v>
      </c>
    </row>
    <row r="11" spans="2:13" ht="15.75" x14ac:dyDescent="0.25">
      <c r="B11" s="354"/>
      <c r="C11" s="354"/>
      <c r="D11" s="354"/>
    </row>
    <row r="12" spans="2:13" s="171" customFormat="1" ht="15.75" x14ac:dyDescent="0.25">
      <c r="B12" s="170"/>
      <c r="C12" s="170"/>
      <c r="D12" s="170"/>
    </row>
    <row r="13" spans="2:13" ht="15.75" thickBot="1" x14ac:dyDescent="0.3"/>
    <row r="14" spans="2:13" ht="15.75" thickBot="1" x14ac:dyDescent="0.3">
      <c r="B14" s="355" t="s">
        <v>145</v>
      </c>
      <c r="C14" s="356"/>
      <c r="D14" s="357"/>
      <c r="E14" s="357"/>
      <c r="F14" s="358"/>
    </row>
    <row r="15" spans="2:13" ht="15.75" thickBot="1" x14ac:dyDescent="0.3">
      <c r="B15" s="237" t="s">
        <v>63</v>
      </c>
      <c r="C15" s="242" t="s">
        <v>92</v>
      </c>
    </row>
    <row r="16" spans="2:13" ht="6.75" customHeight="1" thickBot="1" x14ac:dyDescent="0.3"/>
    <row r="17" spans="1:11" x14ac:dyDescent="0.25">
      <c r="B17" s="238" t="s">
        <v>64</v>
      </c>
      <c r="C17" s="239" t="s">
        <v>65</v>
      </c>
      <c r="D17" s="172"/>
      <c r="E17" s="172"/>
      <c r="F17" s="173"/>
      <c r="H17" s="183" t="s">
        <v>74</v>
      </c>
      <c r="I17" s="183" t="s">
        <v>75</v>
      </c>
      <c r="J17" s="183" t="s">
        <v>2</v>
      </c>
    </row>
    <row r="18" spans="1:11" ht="22.5" x14ac:dyDescent="0.25">
      <c r="B18" s="240" t="s">
        <v>66</v>
      </c>
      <c r="C18" s="174" t="s">
        <v>59</v>
      </c>
      <c r="D18" s="174" t="s">
        <v>91</v>
      </c>
      <c r="E18" s="174" t="s">
        <v>60</v>
      </c>
      <c r="F18" s="175" t="s">
        <v>57</v>
      </c>
      <c r="H18" s="184" t="s">
        <v>146</v>
      </c>
      <c r="I18" s="184" t="s">
        <v>76</v>
      </c>
      <c r="J18" s="184"/>
    </row>
    <row r="19" spans="1:11" x14ac:dyDescent="0.25">
      <c r="B19" s="176" t="s">
        <v>67</v>
      </c>
      <c r="C19" s="177">
        <v>46</v>
      </c>
      <c r="D19" s="177"/>
      <c r="E19" s="177">
        <v>35</v>
      </c>
      <c r="F19" s="178">
        <v>81</v>
      </c>
      <c r="H19" s="184">
        <v>2021</v>
      </c>
      <c r="I19" s="185">
        <f>'Expo Arg Citricos a sem 32'!$G$18</f>
        <v>284428.87305199722</v>
      </c>
      <c r="J19" s="185">
        <f>'Expo Arg Citricos a sem 32'!$C$18</f>
        <v>216148.99816199724</v>
      </c>
      <c r="K19" s="215">
        <f>J19/J20-1</f>
        <v>-0.10656684406451244</v>
      </c>
    </row>
    <row r="20" spans="1:11" x14ac:dyDescent="0.25">
      <c r="B20" s="217" t="s">
        <v>86</v>
      </c>
      <c r="C20" s="177">
        <v>13</v>
      </c>
      <c r="D20" s="177">
        <v>2</v>
      </c>
      <c r="E20" s="216">
        <v>85</v>
      </c>
      <c r="F20" s="178">
        <v>100</v>
      </c>
      <c r="H20" s="184">
        <v>2020</v>
      </c>
      <c r="I20" s="185">
        <v>310931.84999999998</v>
      </c>
      <c r="J20" s="185">
        <v>241930.8</v>
      </c>
      <c r="K20" s="215">
        <f>I19/I20-1</f>
        <v>-8.5237253591109341E-2</v>
      </c>
    </row>
    <row r="21" spans="1:11" x14ac:dyDescent="0.25">
      <c r="B21" s="176" t="s">
        <v>55</v>
      </c>
      <c r="C21" s="177"/>
      <c r="D21" s="177"/>
      <c r="E21" s="177">
        <v>1</v>
      </c>
      <c r="F21" s="178">
        <v>1</v>
      </c>
    </row>
    <row r="22" spans="1:11" ht="15.75" thickBot="1" x14ac:dyDescent="0.3">
      <c r="B22" s="179" t="s">
        <v>57</v>
      </c>
      <c r="C22" s="180">
        <v>59</v>
      </c>
      <c r="D22" s="180">
        <v>2</v>
      </c>
      <c r="E22" s="180">
        <v>121</v>
      </c>
      <c r="F22" s="181">
        <v>182</v>
      </c>
    </row>
    <row r="23" spans="1:11" ht="15" customHeight="1" x14ac:dyDescent="0.25">
      <c r="B23" s="167"/>
      <c r="C23" s="167"/>
      <c r="D23" s="167"/>
      <c r="E23" s="168"/>
      <c r="F23" s="168"/>
    </row>
    <row r="24" spans="1:11" ht="15.75" x14ac:dyDescent="0.25">
      <c r="B24" s="354"/>
      <c r="C24" s="354"/>
      <c r="D24" s="354"/>
    </row>
    <row r="25" spans="1:11" x14ac:dyDescent="0.25">
      <c r="B25" s="182"/>
      <c r="C25" s="182"/>
      <c r="D25" s="182"/>
    </row>
    <row r="27" spans="1:11" x14ac:dyDescent="0.25">
      <c r="A27" t="s">
        <v>69</v>
      </c>
    </row>
    <row r="28" spans="1:11" x14ac:dyDescent="0.25">
      <c r="A28" t="s">
        <v>70</v>
      </c>
    </row>
    <row r="29" spans="1:11" x14ac:dyDescent="0.25">
      <c r="A29" t="s">
        <v>71</v>
      </c>
    </row>
    <row r="30" spans="1:11" x14ac:dyDescent="0.25">
      <c r="A30" t="s">
        <v>72</v>
      </c>
    </row>
    <row r="31" spans="1:11" x14ac:dyDescent="0.25">
      <c r="A31" t="s">
        <v>73</v>
      </c>
    </row>
  </sheetData>
  <mergeCells count="9">
    <mergeCell ref="B2:K2"/>
    <mergeCell ref="B11:D11"/>
    <mergeCell ref="B14:F14"/>
    <mergeCell ref="B24:D24"/>
    <mergeCell ref="E4:E5"/>
    <mergeCell ref="J4:J5"/>
    <mergeCell ref="F4:G4"/>
    <mergeCell ref="H4:H5"/>
    <mergeCell ref="C4:D4"/>
  </mergeCells>
  <pageMargins left="0.7" right="0.7" top="0.75" bottom="0.75" header="0.3" footer="0.3"/>
  <pageSetup paperSize="9" orientation="portrait" verticalDpi="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O34"/>
  <sheetViews>
    <sheetView showGridLines="0" topLeftCell="A7" zoomScale="85" zoomScaleNormal="85" workbookViewId="0">
      <selection activeCell="H11" sqref="H11"/>
    </sheetView>
  </sheetViews>
  <sheetFormatPr baseColWidth="10" defaultRowHeight="15" x14ac:dyDescent="0.25"/>
  <cols>
    <col min="2" max="2" width="17.5703125" bestFit="1" customWidth="1"/>
    <col min="3" max="5" width="13.7109375" customWidth="1"/>
    <col min="6" max="6" width="17.5703125" bestFit="1" customWidth="1"/>
    <col min="7" max="8" width="13.7109375" customWidth="1"/>
    <col min="9" max="9" width="12.7109375" customWidth="1"/>
    <col min="10" max="10" width="17.85546875" customWidth="1"/>
    <col min="11" max="11" width="21" bestFit="1" customWidth="1"/>
    <col min="12" max="12" width="11.85546875" bestFit="1" customWidth="1"/>
    <col min="13" max="13" width="12.140625" bestFit="1" customWidth="1"/>
    <col min="14" max="14" width="15.42578125" bestFit="1" customWidth="1"/>
    <col min="15" max="15" width="13.5703125" bestFit="1" customWidth="1"/>
    <col min="16" max="16" width="14.140625" bestFit="1" customWidth="1"/>
    <col min="17" max="17" width="12.85546875" bestFit="1" customWidth="1"/>
    <col min="18" max="18" width="15.85546875" bestFit="1" customWidth="1"/>
    <col min="19" max="19" width="12.5703125" bestFit="1" customWidth="1"/>
  </cols>
  <sheetData>
    <row r="3" spans="1:15" ht="18.75" x14ac:dyDescent="0.3">
      <c r="B3" s="369" t="s">
        <v>147</v>
      </c>
      <c r="C3" s="369"/>
      <c r="D3" s="369"/>
      <c r="E3" s="369"/>
      <c r="F3" s="369"/>
      <c r="G3" s="369"/>
      <c r="H3" s="369"/>
      <c r="I3" s="233"/>
      <c r="J3" s="233"/>
    </row>
    <row r="4" spans="1:15" ht="9.75" customHeight="1" x14ac:dyDescent="0.3">
      <c r="K4" s="186"/>
    </row>
    <row r="5" spans="1:15" ht="15" customHeight="1" x14ac:dyDescent="0.25">
      <c r="B5" s="24"/>
      <c r="C5" s="367" t="s">
        <v>51</v>
      </c>
      <c r="D5" s="368"/>
      <c r="E5" s="365" t="s">
        <v>77</v>
      </c>
      <c r="F5" s="220" t="s">
        <v>53</v>
      </c>
      <c r="G5" s="365" t="s">
        <v>54</v>
      </c>
      <c r="H5" s="366" t="s">
        <v>57</v>
      </c>
      <c r="J5" s="183" t="s">
        <v>74</v>
      </c>
      <c r="K5" s="183" t="s">
        <v>75</v>
      </c>
      <c r="L5" s="183" t="s">
        <v>2</v>
      </c>
    </row>
    <row r="6" spans="1:15" ht="15.75" x14ac:dyDescent="0.25">
      <c r="B6" s="187" t="s">
        <v>58</v>
      </c>
      <c r="C6" s="188" t="s">
        <v>59</v>
      </c>
      <c r="D6" s="188" t="s">
        <v>60</v>
      </c>
      <c r="E6" s="365"/>
      <c r="F6" s="188" t="s">
        <v>59</v>
      </c>
      <c r="G6" s="365"/>
      <c r="H6" s="366"/>
      <c r="J6" s="184" t="s">
        <v>93</v>
      </c>
      <c r="K6" s="184" t="s">
        <v>76</v>
      </c>
      <c r="L6" s="184"/>
      <c r="M6" s="168"/>
      <c r="N6" s="168"/>
      <c r="O6" s="169"/>
    </row>
    <row r="7" spans="1:15" ht="15.75" x14ac:dyDescent="0.25">
      <c r="B7" s="189" t="s">
        <v>78</v>
      </c>
      <c r="C7" s="190">
        <v>2</v>
      </c>
      <c r="D7" s="190"/>
      <c r="E7" s="191">
        <f>SUM(C7:D7)</f>
        <v>2</v>
      </c>
      <c r="F7" s="190"/>
      <c r="G7" s="191">
        <f>SUM(F7)</f>
        <v>0</v>
      </c>
      <c r="H7" s="192">
        <f>SUM(G7,E7)</f>
        <v>2</v>
      </c>
      <c r="J7" s="184">
        <v>2021</v>
      </c>
      <c r="K7" s="185">
        <f>'Expo Arg Citricos a sem 32'!$G$18</f>
        <v>284428.87305199722</v>
      </c>
      <c r="L7" s="185">
        <f>'Expo Arg Citricos a sem 32'!$C$18</f>
        <v>216148.99816199724</v>
      </c>
    </row>
    <row r="8" spans="1:15" ht="15.75" x14ac:dyDescent="0.25">
      <c r="B8" s="193" t="s">
        <v>79</v>
      </c>
      <c r="C8" s="194">
        <v>4</v>
      </c>
      <c r="D8" s="194"/>
      <c r="E8" s="191">
        <f t="shared" ref="E8:E10" si="0">SUM(C8:D8)</f>
        <v>4</v>
      </c>
      <c r="F8" s="194"/>
      <c r="G8" s="191">
        <f t="shared" ref="G8:G10" si="1">SUM(F8)</f>
        <v>0</v>
      </c>
      <c r="H8" s="192">
        <f t="shared" ref="H8:H10" si="2">SUM(G8,E8)</f>
        <v>4</v>
      </c>
      <c r="J8" s="184">
        <v>2020</v>
      </c>
      <c r="K8" s="185">
        <f>Empaque!I20</f>
        <v>310931.84999999998</v>
      </c>
      <c r="L8" s="185">
        <f>Empaque!J20</f>
        <v>241930.8</v>
      </c>
    </row>
    <row r="9" spans="1:15" ht="15.75" x14ac:dyDescent="0.25">
      <c r="B9" s="193" t="s">
        <v>62</v>
      </c>
      <c r="C9" s="194">
        <v>3</v>
      </c>
      <c r="D9" s="194"/>
      <c r="E9" s="191">
        <f t="shared" si="0"/>
        <v>3</v>
      </c>
      <c r="F9" s="194">
        <v>3</v>
      </c>
      <c r="G9" s="191">
        <f t="shared" si="1"/>
        <v>3</v>
      </c>
      <c r="H9" s="192">
        <f t="shared" si="2"/>
        <v>6</v>
      </c>
      <c r="J9" s="354"/>
      <c r="K9" s="354"/>
      <c r="L9" s="354"/>
    </row>
    <row r="10" spans="1:15" ht="15.75" x14ac:dyDescent="0.25">
      <c r="B10" s="195" t="s">
        <v>21</v>
      </c>
      <c r="C10" s="196">
        <v>15</v>
      </c>
      <c r="D10" s="196">
        <v>12</v>
      </c>
      <c r="E10" s="191">
        <f t="shared" si="0"/>
        <v>27</v>
      </c>
      <c r="F10" s="196"/>
      <c r="G10" s="191">
        <f t="shared" si="1"/>
        <v>0</v>
      </c>
      <c r="H10" s="192">
        <f t="shared" si="2"/>
        <v>27</v>
      </c>
    </row>
    <row r="11" spans="1:15" ht="15.75" x14ac:dyDescent="0.25">
      <c r="B11" s="197" t="s">
        <v>57</v>
      </c>
      <c r="C11" s="198">
        <f t="shared" ref="C11:H11" si="3">SUM(C7:C10)</f>
        <v>24</v>
      </c>
      <c r="D11" s="198">
        <f t="shared" si="3"/>
        <v>12</v>
      </c>
      <c r="E11" s="198">
        <f t="shared" si="3"/>
        <v>36</v>
      </c>
      <c r="F11" s="198">
        <f t="shared" si="3"/>
        <v>3</v>
      </c>
      <c r="G11" s="198">
        <f t="shared" si="3"/>
        <v>3</v>
      </c>
      <c r="H11" s="198">
        <f t="shared" si="3"/>
        <v>39</v>
      </c>
    </row>
    <row r="13" spans="1:15" s="171" customFormat="1" x14ac:dyDescent="0.25">
      <c r="B13" s="199"/>
      <c r="C13" s="200"/>
    </row>
    <row r="15" spans="1:15" ht="18.75" x14ac:dyDescent="0.3">
      <c r="A15" s="201"/>
      <c r="B15" s="372" t="s">
        <v>148</v>
      </c>
      <c r="C15" s="372"/>
      <c r="D15" s="372"/>
      <c r="E15" s="372"/>
      <c r="F15" s="372"/>
      <c r="G15" s="372"/>
      <c r="H15" s="372"/>
      <c r="I15" s="372"/>
    </row>
    <row r="16" spans="1:15" x14ac:dyDescent="0.25">
      <c r="A16" s="201"/>
      <c r="B16" s="201"/>
      <c r="C16" s="201"/>
      <c r="D16" s="201"/>
      <c r="E16" s="201"/>
      <c r="F16" s="201"/>
      <c r="G16" s="201"/>
    </row>
    <row r="17" spans="1:9" ht="15" customHeight="1" x14ac:dyDescent="0.25">
      <c r="A17" s="201"/>
      <c r="B17" s="202"/>
      <c r="C17" s="370" t="s">
        <v>51</v>
      </c>
      <c r="D17" s="371"/>
      <c r="E17" s="373" t="s">
        <v>77</v>
      </c>
      <c r="F17" s="377" t="s">
        <v>68</v>
      </c>
      <c r="G17" s="378"/>
      <c r="H17" s="373" t="s">
        <v>54</v>
      </c>
      <c r="I17" s="375" t="s">
        <v>57</v>
      </c>
    </row>
    <row r="18" spans="1:9" ht="15.75" customHeight="1" x14ac:dyDescent="0.25">
      <c r="A18" s="201"/>
      <c r="B18" s="203" t="s">
        <v>80</v>
      </c>
      <c r="C18" s="204" t="s">
        <v>59</v>
      </c>
      <c r="D18" s="204" t="s">
        <v>60</v>
      </c>
      <c r="E18" s="374"/>
      <c r="F18" s="204" t="s">
        <v>59</v>
      </c>
      <c r="G18" s="204" t="s">
        <v>60</v>
      </c>
      <c r="H18" s="374"/>
      <c r="I18" s="376"/>
    </row>
    <row r="19" spans="1:9" ht="15.75" x14ac:dyDescent="0.25">
      <c r="B19" s="205" t="s">
        <v>81</v>
      </c>
      <c r="C19" s="206">
        <v>1</v>
      </c>
      <c r="D19" s="206">
        <v>2</v>
      </c>
      <c r="E19" s="207">
        <v>3</v>
      </c>
      <c r="F19" s="206"/>
      <c r="G19" s="208"/>
      <c r="H19" s="207"/>
      <c r="I19" s="209">
        <v>3</v>
      </c>
    </row>
    <row r="20" spans="1:9" ht="15.75" x14ac:dyDescent="0.25">
      <c r="B20" s="210" t="s">
        <v>94</v>
      </c>
      <c r="C20" s="211"/>
      <c r="D20" s="211">
        <v>1</v>
      </c>
      <c r="E20" s="207">
        <v>1</v>
      </c>
      <c r="F20" s="211"/>
      <c r="G20" s="212"/>
      <c r="H20" s="207"/>
      <c r="I20" s="209">
        <v>1</v>
      </c>
    </row>
    <row r="21" spans="1:9" ht="15.75" x14ac:dyDescent="0.25">
      <c r="B21" s="210" t="s">
        <v>90</v>
      </c>
      <c r="C21" s="211">
        <v>1</v>
      </c>
      <c r="D21" s="211"/>
      <c r="E21" s="207">
        <v>1</v>
      </c>
      <c r="F21" s="211"/>
      <c r="G21" s="212"/>
      <c r="H21" s="207"/>
      <c r="I21" s="209">
        <v>1</v>
      </c>
    </row>
    <row r="22" spans="1:9" ht="15.75" x14ac:dyDescent="0.25">
      <c r="B22" s="210" t="s">
        <v>62</v>
      </c>
      <c r="C22" s="211">
        <v>9</v>
      </c>
      <c r="D22" s="211">
        <v>4</v>
      </c>
      <c r="E22" s="207">
        <v>14</v>
      </c>
      <c r="F22" s="211">
        <v>1</v>
      </c>
      <c r="G22" s="212">
        <v>20</v>
      </c>
      <c r="H22" s="207">
        <v>22</v>
      </c>
      <c r="I22" s="209">
        <v>36</v>
      </c>
    </row>
    <row r="23" spans="1:9" ht="15.75" x14ac:dyDescent="0.25">
      <c r="B23" s="210" t="s">
        <v>82</v>
      </c>
      <c r="C23" s="211">
        <v>1</v>
      </c>
      <c r="D23" s="211"/>
      <c r="E23" s="207">
        <v>1</v>
      </c>
      <c r="F23" s="211"/>
      <c r="G23" s="212"/>
      <c r="H23" s="207"/>
      <c r="I23" s="209">
        <v>1</v>
      </c>
    </row>
    <row r="24" spans="1:9" ht="15.75" x14ac:dyDescent="0.25">
      <c r="B24" s="210" t="s">
        <v>21</v>
      </c>
      <c r="C24" s="234">
        <v>11</v>
      </c>
      <c r="D24" s="234">
        <v>8</v>
      </c>
      <c r="E24" s="207">
        <v>19</v>
      </c>
      <c r="F24" s="234"/>
      <c r="G24" s="235"/>
      <c r="H24" s="207"/>
      <c r="I24" s="209">
        <v>19</v>
      </c>
    </row>
    <row r="25" spans="1:9" ht="15.75" x14ac:dyDescent="0.25">
      <c r="B25" s="205" t="s">
        <v>83</v>
      </c>
      <c r="C25" s="206">
        <v>1</v>
      </c>
      <c r="D25" s="206">
        <v>1</v>
      </c>
      <c r="E25" s="207">
        <v>2</v>
      </c>
      <c r="F25" s="206"/>
      <c r="G25" s="208"/>
      <c r="H25" s="207"/>
      <c r="I25" s="209">
        <v>2</v>
      </c>
    </row>
    <row r="26" spans="1:9" ht="16.5" thickBot="1" x14ac:dyDescent="0.3">
      <c r="B26" s="210" t="s">
        <v>84</v>
      </c>
      <c r="C26" s="211"/>
      <c r="D26" s="211">
        <v>1</v>
      </c>
      <c r="E26" s="207">
        <v>1</v>
      </c>
      <c r="F26" s="211"/>
      <c r="G26" s="212"/>
      <c r="H26" s="207"/>
      <c r="I26" s="209">
        <v>1</v>
      </c>
    </row>
    <row r="27" spans="1:9" ht="16.5" thickBot="1" x14ac:dyDescent="0.3">
      <c r="B27" s="213" t="s">
        <v>57</v>
      </c>
      <c r="C27" s="214">
        <f>SUM(C19:C26)</f>
        <v>24</v>
      </c>
      <c r="D27" s="214">
        <f>SUM(D19:D26)</f>
        <v>17</v>
      </c>
      <c r="E27" s="214">
        <f t="shared" ref="E27:I27" si="4">SUM(E19:E26)</f>
        <v>42</v>
      </c>
      <c r="F27" s="214">
        <f t="shared" si="4"/>
        <v>1</v>
      </c>
      <c r="G27" s="214">
        <f t="shared" si="4"/>
        <v>20</v>
      </c>
      <c r="H27" s="214">
        <f t="shared" si="4"/>
        <v>22</v>
      </c>
      <c r="I27" s="214">
        <f t="shared" si="4"/>
        <v>64</v>
      </c>
    </row>
    <row r="30" spans="1:9" x14ac:dyDescent="0.25">
      <c r="B30" t="s">
        <v>69</v>
      </c>
    </row>
    <row r="31" spans="1:9" x14ac:dyDescent="0.25">
      <c r="B31" t="s">
        <v>85</v>
      </c>
    </row>
    <row r="32" spans="1:9" x14ac:dyDescent="0.25">
      <c r="B32" t="s">
        <v>71</v>
      </c>
    </row>
    <row r="33" spans="2:2" x14ac:dyDescent="0.25">
      <c r="B33" t="s">
        <v>72</v>
      </c>
    </row>
    <row r="34" spans="2:2" x14ac:dyDescent="0.25">
      <c r="B34" t="s">
        <v>73</v>
      </c>
    </row>
  </sheetData>
  <mergeCells count="12">
    <mergeCell ref="C17:D17"/>
    <mergeCell ref="B15:I15"/>
    <mergeCell ref="J9:L9"/>
    <mergeCell ref="E17:E18"/>
    <mergeCell ref="H17:H18"/>
    <mergeCell ref="I17:I18"/>
    <mergeCell ref="F17:G17"/>
    <mergeCell ref="E5:E6"/>
    <mergeCell ref="G5:G6"/>
    <mergeCell ref="H5:H6"/>
    <mergeCell ref="C5:D5"/>
    <mergeCell ref="B3:H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6"/>
  <sheetViews>
    <sheetView showGridLines="0" workbookViewId="0">
      <selection activeCell="J8" sqref="J8"/>
    </sheetView>
  </sheetViews>
  <sheetFormatPr baseColWidth="10" defaultRowHeight="15" x14ac:dyDescent="0.25"/>
  <cols>
    <col min="1" max="1" width="7.85546875" customWidth="1"/>
    <col min="2" max="2" width="5.140625" customWidth="1"/>
    <col min="3" max="3" width="28.85546875" customWidth="1"/>
    <col min="4" max="4" width="25.42578125" customWidth="1"/>
    <col min="5" max="5" width="15.5703125" customWidth="1"/>
    <col min="6" max="6" width="21.85546875" customWidth="1"/>
    <col min="7" max="7" width="12.5703125" customWidth="1"/>
    <col min="8" max="8" width="9.140625" customWidth="1"/>
    <col min="9" max="9" width="14.28515625" customWidth="1"/>
    <col min="10" max="10" width="13.5703125" customWidth="1"/>
    <col min="12" max="12" width="13.7109375" customWidth="1"/>
    <col min="13" max="13" width="14.85546875" customWidth="1"/>
    <col min="14" max="15" width="13.7109375" customWidth="1"/>
  </cols>
  <sheetData>
    <row r="2" spans="2:15" ht="30.75" customHeight="1" x14ac:dyDescent="0.25">
      <c r="B2" s="272" t="s">
        <v>149</v>
      </c>
      <c r="C2" s="272" t="s">
        <v>161</v>
      </c>
      <c r="D2" s="272" t="s">
        <v>123</v>
      </c>
      <c r="E2" s="272" t="s">
        <v>150</v>
      </c>
      <c r="F2" s="272" t="s">
        <v>158</v>
      </c>
      <c r="G2" s="272" t="s">
        <v>157</v>
      </c>
      <c r="H2" s="272" t="s">
        <v>159</v>
      </c>
      <c r="I2" s="272" t="s">
        <v>160</v>
      </c>
      <c r="J2" s="272" t="s">
        <v>151</v>
      </c>
      <c r="K2" s="272" t="s">
        <v>152</v>
      </c>
      <c r="L2" s="272" t="s">
        <v>153</v>
      </c>
      <c r="M2" s="272" t="s">
        <v>154</v>
      </c>
      <c r="N2" s="272" t="s">
        <v>155</v>
      </c>
      <c r="O2" s="272" t="s">
        <v>156</v>
      </c>
    </row>
    <row r="3" spans="2:15" x14ac:dyDescent="0.25">
      <c r="B3" s="152">
        <v>1</v>
      </c>
      <c r="C3" s="152" t="s">
        <v>169</v>
      </c>
      <c r="D3" s="152" t="s">
        <v>125</v>
      </c>
      <c r="E3" s="152" t="s">
        <v>162</v>
      </c>
      <c r="F3" s="152" t="s">
        <v>167</v>
      </c>
      <c r="G3" s="152" t="s">
        <v>166</v>
      </c>
      <c r="H3" s="152" t="s">
        <v>168</v>
      </c>
      <c r="I3" s="152" t="s">
        <v>97</v>
      </c>
      <c r="J3" s="152" t="s">
        <v>163</v>
      </c>
      <c r="K3" s="152" t="s">
        <v>164</v>
      </c>
      <c r="L3" s="152" t="s">
        <v>165</v>
      </c>
      <c r="M3" s="271">
        <v>44357</v>
      </c>
      <c r="N3" s="271">
        <v>44400</v>
      </c>
      <c r="O3" s="271">
        <v>44406</v>
      </c>
    </row>
    <row r="4" spans="2:15" x14ac:dyDescent="0.25">
      <c r="B4" s="152">
        <v>2</v>
      </c>
      <c r="C4" s="152" t="s">
        <v>176</v>
      </c>
      <c r="D4" s="152" t="s">
        <v>170</v>
      </c>
      <c r="E4" s="152" t="s">
        <v>171</v>
      </c>
      <c r="F4" s="152" t="s">
        <v>174</v>
      </c>
      <c r="G4" s="152" t="s">
        <v>166</v>
      </c>
      <c r="H4" s="152" t="s">
        <v>175</v>
      </c>
      <c r="I4" s="152" t="s">
        <v>101</v>
      </c>
      <c r="J4" s="152" t="s">
        <v>172</v>
      </c>
      <c r="K4" s="152" t="s">
        <v>173</v>
      </c>
      <c r="L4" s="152" t="s">
        <v>16</v>
      </c>
      <c r="M4" s="271">
        <v>44344</v>
      </c>
      <c r="N4" s="271">
        <v>44404</v>
      </c>
      <c r="O4" s="271">
        <v>44406</v>
      </c>
    </row>
    <row r="5" spans="2:15" x14ac:dyDescent="0.25">
      <c r="B5" s="152">
        <v>3</v>
      </c>
      <c r="C5" s="152" t="s">
        <v>177</v>
      </c>
      <c r="D5" s="152" t="s">
        <v>124</v>
      </c>
      <c r="E5" s="152" t="s">
        <v>171</v>
      </c>
      <c r="F5" s="152" t="s">
        <v>181</v>
      </c>
      <c r="G5" s="152" t="s">
        <v>180</v>
      </c>
      <c r="H5" s="152" t="s">
        <v>175</v>
      </c>
      <c r="I5" s="152" t="s">
        <v>101</v>
      </c>
      <c r="J5" s="152" t="s">
        <v>177</v>
      </c>
      <c r="K5" s="152" t="s">
        <v>178</v>
      </c>
      <c r="L5" s="152" t="s">
        <v>179</v>
      </c>
      <c r="M5" s="271">
        <v>44336</v>
      </c>
      <c r="N5" s="271">
        <v>44411</v>
      </c>
      <c r="O5" s="271">
        <v>44411</v>
      </c>
    </row>
    <row r="6" spans="2:15" x14ac:dyDescent="0.25">
      <c r="B6" s="152">
        <v>4</v>
      </c>
      <c r="C6" s="152" t="s">
        <v>182</v>
      </c>
      <c r="D6" s="152" t="s">
        <v>182</v>
      </c>
      <c r="E6" s="152" t="s">
        <v>171</v>
      </c>
      <c r="F6" s="152" t="s">
        <v>184</v>
      </c>
      <c r="G6" s="152" t="s">
        <v>180</v>
      </c>
      <c r="H6" s="152" t="s">
        <v>175</v>
      </c>
      <c r="I6" s="152" t="s">
        <v>101</v>
      </c>
      <c r="J6" s="152" t="s">
        <v>183</v>
      </c>
      <c r="K6" s="152" t="s">
        <v>173</v>
      </c>
      <c r="L6" s="152" t="s">
        <v>16</v>
      </c>
      <c r="M6" s="271">
        <v>44364</v>
      </c>
      <c r="N6" s="271">
        <v>44410</v>
      </c>
      <c r="O6" s="271">
        <v>44414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Expo Arg Citricos a sem 32</vt:lpstr>
      <vt:lpstr>Expo Limon Mercados acum sem 32</vt:lpstr>
      <vt:lpstr>Tn en pallets despach 130821</vt:lpstr>
      <vt:lpstr>Cargas RSA y ARG</vt:lpstr>
      <vt:lpstr>Comparativo expo RSA y ARG</vt:lpstr>
      <vt:lpstr>Comp semanas</vt:lpstr>
      <vt:lpstr>Empaque</vt:lpstr>
      <vt:lpstr>Puerto</vt:lpstr>
      <vt:lpstr>Destino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Paula Rovella</dc:creator>
  <cp:lastModifiedBy>Usuario de Windows</cp:lastModifiedBy>
  <dcterms:created xsi:type="dcterms:W3CDTF">2021-06-04T16:14:07Z</dcterms:created>
  <dcterms:modified xsi:type="dcterms:W3CDTF">2021-08-18T14:17:46Z</dcterms:modified>
</cp:coreProperties>
</file>