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pivotTables/pivotTable1.xml" ContentType="application/vnd.openxmlformats-officedocument.spreadsheetml.pivot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20370" yWindow="-120" windowWidth="20730" windowHeight="11160"/>
  </bookViews>
  <sheets>
    <sheet name="Expo Arg Citricos a sem 36" sheetId="1" r:id="rId1"/>
    <sheet name="Expo Limon Mercados acum sem 36" sheetId="2" r:id="rId2"/>
    <sheet name="Tn en pallets despa" sheetId="8" r:id="rId3"/>
    <sheet name="Cargas RSA y ARG" sheetId="3" r:id="rId4"/>
    <sheet name="Comparativo expo RSA y ARG" sheetId="4" r:id="rId5"/>
    <sheet name="Comp semanas hasta 36" sheetId="13" r:id="rId6"/>
    <sheet name="Empaque" sheetId="5" r:id="rId7"/>
    <sheet name="Puerto" sheetId="7" r:id="rId8"/>
    <sheet name="Destino" sheetId="12" r:id="rId9"/>
  </sheets>
  <definedNames>
    <definedName name="_xlnm._FilterDatabase" localSheetId="5" hidden="1">'Comp semanas hasta 36'!$B$3:$O$11</definedName>
  </definedNames>
  <calcPr calcId="145621"/>
  <pivotCaches>
    <pivotCache cacheId="2" r:id="rId10"/>
  </pivotCaches>
</workbook>
</file>

<file path=xl/calcChain.xml><?xml version="1.0" encoding="utf-8"?>
<calcChain xmlns="http://schemas.openxmlformats.org/spreadsheetml/2006/main">
  <c r="M10" i="3" l="1"/>
  <c r="M11" i="3"/>
  <c r="M12" i="3"/>
  <c r="M13" i="3"/>
  <c r="M14" i="3"/>
  <c r="M9" i="3"/>
  <c r="L10" i="3"/>
  <c r="L11" i="3"/>
  <c r="L12" i="3"/>
  <c r="L13" i="3"/>
  <c r="L14" i="3"/>
  <c r="L9" i="3"/>
  <c r="T13" i="3" l="1"/>
  <c r="K13" i="3"/>
  <c r="K9" i="3"/>
  <c r="K10" i="3"/>
  <c r="K11" i="3"/>
  <c r="K12" i="3"/>
  <c r="K14" i="3" l="1"/>
  <c r="T14" i="3"/>
  <c r="Q13" i="3" l="1"/>
  <c r="S13" i="3"/>
  <c r="R13" i="3"/>
  <c r="R12" i="8"/>
  <c r="E32" i="7"/>
  <c r="S14" i="3"/>
  <c r="R61" i="8"/>
  <c r="R54" i="8"/>
  <c r="R44" i="8"/>
  <c r="R34" i="8"/>
  <c r="R22" i="8"/>
  <c r="O63" i="8"/>
  <c r="P63" i="8"/>
  <c r="Q63" i="8"/>
  <c r="E18" i="2"/>
  <c r="E12" i="2"/>
  <c r="C19" i="1"/>
  <c r="F19" i="1"/>
  <c r="E19" i="1"/>
  <c r="D19" i="1"/>
  <c r="G11" i="1"/>
  <c r="G12" i="1"/>
  <c r="G13" i="1"/>
  <c r="G14" i="1"/>
  <c r="G15" i="1"/>
  <c r="G16" i="1"/>
  <c r="G17" i="1"/>
  <c r="G18" i="1"/>
  <c r="G10" i="1"/>
  <c r="G19" i="1" l="1"/>
  <c r="C20" i="1" s="1"/>
  <c r="R53" i="8"/>
  <c r="R19" i="8"/>
  <c r="R20" i="8"/>
  <c r="R21" i="8"/>
  <c r="R18" i="8"/>
  <c r="R9" i="8"/>
  <c r="R10" i="8"/>
  <c r="R11" i="8"/>
  <c r="R8" i="8"/>
  <c r="R32" i="8"/>
  <c r="R33" i="8"/>
  <c r="R35" i="8"/>
  <c r="R36" i="8"/>
  <c r="R31" i="8"/>
  <c r="R41" i="8"/>
  <c r="R42" i="8"/>
  <c r="R43" i="8"/>
  <c r="R45" i="8"/>
  <c r="R46" i="8"/>
  <c r="O37" i="8"/>
  <c r="P37" i="8"/>
  <c r="Q37" i="8"/>
  <c r="O47" i="8"/>
  <c r="P47" i="8"/>
  <c r="Q47" i="8"/>
  <c r="E47" i="8"/>
  <c r="F47" i="8"/>
  <c r="G47" i="8"/>
  <c r="H47" i="8"/>
  <c r="I47" i="8"/>
  <c r="J47" i="8"/>
  <c r="K47" i="8"/>
  <c r="L47" i="8"/>
  <c r="M47" i="8"/>
  <c r="N47" i="8"/>
  <c r="C8" i="13"/>
  <c r="D7" i="13"/>
  <c r="E7" i="13" s="1"/>
  <c r="F7" i="13" s="1"/>
  <c r="D6" i="13"/>
  <c r="E6" i="13" s="1"/>
  <c r="F6" i="13" s="1"/>
  <c r="G6" i="13" s="1"/>
  <c r="H6" i="13" s="1"/>
  <c r="I6" i="13" s="1"/>
  <c r="J6" i="13" s="1"/>
  <c r="K6" i="13" s="1"/>
  <c r="L6" i="13" s="1"/>
  <c r="M6" i="13" s="1"/>
  <c r="N6" i="13" s="1"/>
  <c r="O6" i="13" s="1"/>
  <c r="P6" i="13" s="1"/>
  <c r="Q6" i="13" s="1"/>
  <c r="D5" i="13"/>
  <c r="E5" i="13" s="1"/>
  <c r="D4" i="13"/>
  <c r="E4" i="13" s="1"/>
  <c r="D20" i="1" l="1"/>
  <c r="R13" i="8"/>
  <c r="R37" i="8"/>
  <c r="R47" i="8"/>
  <c r="R23" i="8"/>
  <c r="G7" i="13"/>
  <c r="H7" i="13" s="1"/>
  <c r="I7" i="13" s="1"/>
  <c r="J7" i="13" s="1"/>
  <c r="K7" i="13" s="1"/>
  <c r="L7" i="13" s="1"/>
  <c r="M7" i="13" s="1"/>
  <c r="N7" i="13" s="1"/>
  <c r="O7" i="13" s="1"/>
  <c r="P7" i="13" s="1"/>
  <c r="Q7" i="13" s="1"/>
  <c r="E8" i="13"/>
  <c r="F4" i="13"/>
  <c r="E10" i="13"/>
  <c r="F5" i="13"/>
  <c r="E11" i="13"/>
  <c r="D10" i="13"/>
  <c r="D8" i="13"/>
  <c r="D9" i="13" s="1"/>
  <c r="D11" i="13"/>
  <c r="G5" i="13" l="1"/>
  <c r="F11" i="13"/>
  <c r="F8" i="13"/>
  <c r="F9" i="13" s="1"/>
  <c r="F10" i="13"/>
  <c r="G4" i="13"/>
  <c r="E9" i="13"/>
  <c r="H4" i="13" l="1"/>
  <c r="G10" i="13"/>
  <c r="G8" i="13"/>
  <c r="G9" i="13" s="1"/>
  <c r="G11" i="13"/>
  <c r="H5" i="13"/>
  <c r="I5" i="13" s="1"/>
  <c r="J5" i="13" l="1"/>
  <c r="K5" i="13" s="1"/>
  <c r="L5" i="13" s="1"/>
  <c r="M5" i="13" s="1"/>
  <c r="N5" i="13" s="1"/>
  <c r="O5" i="13" s="1"/>
  <c r="P5" i="13" s="1"/>
  <c r="Q5" i="13" s="1"/>
  <c r="Q11" i="13" s="1"/>
  <c r="H11" i="13"/>
  <c r="H8" i="13"/>
  <c r="H9" i="13" s="1"/>
  <c r="I4" i="13"/>
  <c r="H10" i="13"/>
  <c r="N56" i="8"/>
  <c r="M56" i="8"/>
  <c r="L56" i="8"/>
  <c r="K56" i="8"/>
  <c r="J56" i="8"/>
  <c r="I56" i="8"/>
  <c r="H56" i="8"/>
  <c r="G56" i="8"/>
  <c r="F56" i="8"/>
  <c r="E56" i="8"/>
  <c r="R55" i="8"/>
  <c r="R56" i="8" s="1"/>
  <c r="R65" i="8" s="1"/>
  <c r="N37" i="8"/>
  <c r="M37" i="8"/>
  <c r="L37" i="8"/>
  <c r="K37" i="8"/>
  <c r="J37" i="8"/>
  <c r="I37" i="8"/>
  <c r="H37" i="8"/>
  <c r="G37" i="8"/>
  <c r="F37" i="8"/>
  <c r="E37" i="8"/>
  <c r="Q13" i="8"/>
  <c r="P13" i="8"/>
  <c r="O13" i="8"/>
  <c r="N13" i="8"/>
  <c r="M13" i="8"/>
  <c r="L13" i="8"/>
  <c r="K13" i="8"/>
  <c r="J13" i="8"/>
  <c r="I13" i="8"/>
  <c r="H13" i="8"/>
  <c r="G13" i="8"/>
  <c r="F13" i="8"/>
  <c r="E13" i="8"/>
  <c r="Q14" i="3"/>
  <c r="R14" i="3"/>
  <c r="I32" i="7"/>
  <c r="H32" i="7"/>
  <c r="G32" i="7"/>
  <c r="F32" i="7"/>
  <c r="D32" i="7"/>
  <c r="C32" i="7"/>
  <c r="F16" i="7"/>
  <c r="D16" i="7"/>
  <c r="C16" i="7"/>
  <c r="G15" i="7"/>
  <c r="H15" i="7" s="1"/>
  <c r="E15" i="7"/>
  <c r="G14" i="7"/>
  <c r="E14" i="7"/>
  <c r="L13" i="7"/>
  <c r="K13" i="7"/>
  <c r="G13" i="7"/>
  <c r="E13" i="7"/>
  <c r="G12" i="7"/>
  <c r="E12" i="7"/>
  <c r="I13" i="5"/>
  <c r="G13" i="5"/>
  <c r="F13" i="5"/>
  <c r="D13" i="5"/>
  <c r="C13" i="5"/>
  <c r="J12" i="5"/>
  <c r="H12" i="5"/>
  <c r="E12" i="5"/>
  <c r="J11" i="5"/>
  <c r="H11" i="5"/>
  <c r="E11" i="5"/>
  <c r="J10" i="5"/>
  <c r="H10" i="5"/>
  <c r="E10" i="5"/>
  <c r="J8" i="5"/>
  <c r="H8" i="5"/>
  <c r="E8" i="5"/>
  <c r="D19" i="3"/>
  <c r="D18" i="4" s="1"/>
  <c r="D17" i="3"/>
  <c r="D16" i="4" s="1"/>
  <c r="D16" i="3"/>
  <c r="D15" i="3"/>
  <c r="D14" i="4" s="1"/>
  <c r="D14" i="3"/>
  <c r="D10" i="4" s="1"/>
  <c r="H13" i="3"/>
  <c r="J12" i="3"/>
  <c r="I12" i="3"/>
  <c r="D17" i="4" s="1"/>
  <c r="H12" i="3"/>
  <c r="D12" i="3"/>
  <c r="J11" i="3"/>
  <c r="I11" i="3"/>
  <c r="D13" i="4" s="1"/>
  <c r="H11" i="3"/>
  <c r="D11" i="3"/>
  <c r="J10" i="3"/>
  <c r="I10" i="3"/>
  <c r="D15" i="4" s="1"/>
  <c r="H10" i="3"/>
  <c r="D10" i="3"/>
  <c r="J9" i="3"/>
  <c r="I9" i="3"/>
  <c r="D11" i="4" s="1"/>
  <c r="H9" i="3"/>
  <c r="D9" i="3"/>
  <c r="N63" i="8"/>
  <c r="M63" i="8"/>
  <c r="L63" i="8"/>
  <c r="K63" i="8"/>
  <c r="J63" i="8"/>
  <c r="I63" i="8"/>
  <c r="H63" i="8"/>
  <c r="G63" i="8"/>
  <c r="F63" i="8"/>
  <c r="E63" i="8"/>
  <c r="R62" i="8"/>
  <c r="R60" i="8"/>
  <c r="Q23" i="8"/>
  <c r="P23" i="8"/>
  <c r="O23" i="8"/>
  <c r="N23" i="8"/>
  <c r="M23" i="8"/>
  <c r="L23" i="8"/>
  <c r="K23" i="8"/>
  <c r="J23" i="8"/>
  <c r="I23" i="8"/>
  <c r="H23" i="8"/>
  <c r="G23" i="8"/>
  <c r="F23" i="8"/>
  <c r="E23" i="8"/>
  <c r="G18" i="2"/>
  <c r="F18" i="2"/>
  <c r="D18" i="2"/>
  <c r="C18" i="2"/>
  <c r="M17" i="2"/>
  <c r="L17" i="2"/>
  <c r="K17" i="2"/>
  <c r="J17" i="2"/>
  <c r="I17" i="2"/>
  <c r="H17" i="2"/>
  <c r="M16" i="2"/>
  <c r="L16" i="2"/>
  <c r="K16" i="2"/>
  <c r="J16" i="2"/>
  <c r="I16" i="2"/>
  <c r="H16" i="2"/>
  <c r="M15" i="2"/>
  <c r="L15" i="2"/>
  <c r="K15" i="2"/>
  <c r="J15" i="2"/>
  <c r="I15" i="2"/>
  <c r="H15" i="2"/>
  <c r="M14" i="2"/>
  <c r="L14" i="2"/>
  <c r="K14" i="2"/>
  <c r="J14" i="2"/>
  <c r="I14" i="2"/>
  <c r="H14" i="2"/>
  <c r="M13" i="2"/>
  <c r="L13" i="2"/>
  <c r="K13" i="2"/>
  <c r="J13" i="2"/>
  <c r="I13" i="2"/>
  <c r="H13" i="2"/>
  <c r="G12" i="2"/>
  <c r="F12" i="2"/>
  <c r="D12" i="2"/>
  <c r="C12" i="2"/>
  <c r="M11" i="2"/>
  <c r="L11" i="2"/>
  <c r="K11" i="2"/>
  <c r="J11" i="2"/>
  <c r="I11" i="2"/>
  <c r="H11" i="2"/>
  <c r="M10" i="2"/>
  <c r="L10" i="2"/>
  <c r="K10" i="2"/>
  <c r="J10" i="2"/>
  <c r="I10" i="2"/>
  <c r="H10" i="2"/>
  <c r="M9" i="2"/>
  <c r="L9" i="2"/>
  <c r="K9" i="2"/>
  <c r="J9" i="2"/>
  <c r="I9" i="2"/>
  <c r="H9" i="2"/>
  <c r="M8" i="2"/>
  <c r="L8" i="2"/>
  <c r="K8" i="2"/>
  <c r="J8" i="2"/>
  <c r="I8" i="2"/>
  <c r="H8" i="2"/>
  <c r="L12" i="7"/>
  <c r="K11" i="5" l="1"/>
  <c r="J13" i="5"/>
  <c r="H13" i="7"/>
  <c r="K8" i="5"/>
  <c r="G19" i="2"/>
  <c r="I18" i="2"/>
  <c r="K10" i="5"/>
  <c r="H13" i="5"/>
  <c r="J21" i="5"/>
  <c r="K21" i="5" s="1"/>
  <c r="L18" i="2"/>
  <c r="F19" i="2"/>
  <c r="G16" i="7"/>
  <c r="K12" i="5"/>
  <c r="I8" i="13"/>
  <c r="I9" i="13" s="1"/>
  <c r="J4" i="13"/>
  <c r="I10" i="13"/>
  <c r="P11" i="13"/>
  <c r="I11" i="13"/>
  <c r="H12" i="7"/>
  <c r="E16" i="7"/>
  <c r="H14" i="7"/>
  <c r="E13" i="5"/>
  <c r="I21" i="5"/>
  <c r="K22" i="5" s="1"/>
  <c r="D19" i="2"/>
  <c r="R63" i="8"/>
  <c r="R66" i="8" s="1"/>
  <c r="I13" i="3"/>
  <c r="D19" i="4" s="1"/>
  <c r="F18" i="4" s="1"/>
  <c r="D13" i="3"/>
  <c r="D12" i="4" s="1"/>
  <c r="J13" i="3"/>
  <c r="J14" i="3" s="1"/>
  <c r="F16" i="4"/>
  <c r="E16" i="4"/>
  <c r="H14" i="3"/>
  <c r="F10" i="4"/>
  <c r="E10" i="4"/>
  <c r="F14" i="4"/>
  <c r="E14" i="4"/>
  <c r="M18" i="2"/>
  <c r="D20" i="3"/>
  <c r="K18" i="2"/>
  <c r="H12" i="2"/>
  <c r="J12" i="2"/>
  <c r="K12" i="2"/>
  <c r="L12" i="2"/>
  <c r="M12" i="2"/>
  <c r="I12" i="2"/>
  <c r="C19" i="2"/>
  <c r="H18" i="2"/>
  <c r="E19" i="2"/>
  <c r="J18" i="2"/>
  <c r="H16" i="7" l="1"/>
  <c r="M19" i="2"/>
  <c r="K13" i="5"/>
  <c r="L19" i="2"/>
  <c r="J19" i="2"/>
  <c r="I19" i="2"/>
  <c r="J11" i="13"/>
  <c r="J8" i="13"/>
  <c r="J9" i="13" s="1"/>
  <c r="K4" i="13"/>
  <c r="L4" i="13" s="1"/>
  <c r="J10" i="13"/>
  <c r="K12" i="7"/>
  <c r="E20" i="1"/>
  <c r="F20" i="1"/>
  <c r="D21" i="3"/>
  <c r="I14" i="3"/>
  <c r="E18" i="4"/>
  <c r="F12" i="4"/>
  <c r="E12" i="4"/>
  <c r="K19" i="2"/>
  <c r="H19" i="2"/>
  <c r="K10" i="13" l="1"/>
  <c r="K8" i="13"/>
  <c r="K9" i="13" s="1"/>
  <c r="K11" i="13"/>
  <c r="G20" i="1"/>
  <c r="O11" i="13" l="1"/>
  <c r="L11" i="13"/>
  <c r="L8" i="13"/>
  <c r="L9" i="13" s="1"/>
  <c r="M4" i="13"/>
  <c r="L10" i="13"/>
  <c r="N4" i="13" l="1"/>
  <c r="O4" i="13" s="1"/>
  <c r="M8" i="13"/>
  <c r="M9" i="13" s="1"/>
  <c r="M10" i="13"/>
  <c r="M11" i="13"/>
  <c r="N11" i="13"/>
  <c r="P4" i="13" l="1"/>
  <c r="O10" i="13"/>
  <c r="O8" i="13"/>
  <c r="N8" i="13"/>
  <c r="N9" i="13" s="1"/>
  <c r="N10" i="13"/>
  <c r="Q4" i="13" l="1"/>
  <c r="P10" i="13"/>
  <c r="P8" i="13"/>
  <c r="P9" i="13" s="1"/>
  <c r="O9" i="13"/>
  <c r="Q10" i="13" l="1"/>
  <c r="Q8" i="13"/>
  <c r="Q9" i="13" s="1"/>
</calcChain>
</file>

<file path=xl/sharedStrings.xml><?xml version="1.0" encoding="utf-8"?>
<sst xmlns="http://schemas.openxmlformats.org/spreadsheetml/2006/main" count="402" uniqueCount="196">
  <si>
    <t>Cargado Real</t>
  </si>
  <si>
    <t>Meses de Carga</t>
  </si>
  <si>
    <t>Limon</t>
  </si>
  <si>
    <t>Pomelo</t>
  </si>
  <si>
    <t>Naranja</t>
  </si>
  <si>
    <t>Mandarina</t>
  </si>
  <si>
    <t>Total</t>
  </si>
  <si>
    <t>Enero</t>
  </si>
  <si>
    <t>Febrero</t>
  </si>
  <si>
    <t>Marzo</t>
  </si>
  <si>
    <t>Abril</t>
  </si>
  <si>
    <t>Mayo</t>
  </si>
  <si>
    <t>% Sobre el total</t>
  </si>
  <si>
    <t>Destinos</t>
  </si>
  <si>
    <t>Grecia y Balcanes</t>
  </si>
  <si>
    <t>Iberica</t>
  </si>
  <si>
    <t>Italia</t>
  </si>
  <si>
    <t>Norte Europa</t>
  </si>
  <si>
    <t>Sub Total UE</t>
  </si>
  <si>
    <t>Rusia</t>
  </si>
  <si>
    <t>Odessa-Ucrania</t>
  </si>
  <si>
    <t>USA</t>
  </si>
  <si>
    <t>Otros Destinos</t>
  </si>
  <si>
    <t>Reino Unido</t>
  </si>
  <si>
    <t>(en toneladas)</t>
  </si>
  <si>
    <t>Variación % Año 2021 vs:</t>
  </si>
  <si>
    <t xml:space="preserve">Sub Total </t>
  </si>
  <si>
    <t>Aclaraciones:</t>
  </si>
  <si>
    <t>Cajas 15 kilos</t>
  </si>
  <si>
    <t>Reino unido</t>
  </si>
  <si>
    <t>Union Europea</t>
  </si>
  <si>
    <t>Otros</t>
  </si>
  <si>
    <t>Argentina</t>
  </si>
  <si>
    <t>RSA</t>
  </si>
  <si>
    <t>Tn</t>
  </si>
  <si>
    <t>Sub Total</t>
  </si>
  <si>
    <t>Canadá</t>
  </si>
  <si>
    <t xml:space="preserve">Otros Destinos </t>
  </si>
  <si>
    <t xml:space="preserve">Aclaraciones: </t>
  </si>
  <si>
    <t>Otros Destinos:  incluye Canada, Middle East, Far East, America Sur</t>
  </si>
  <si>
    <t>Otros Destinos:  incluye  Middle East, Far East, America Sur</t>
  </si>
  <si>
    <t>Variación en TN Año 2021 vs:</t>
  </si>
  <si>
    <t>% Arg vs RSA</t>
  </si>
  <si>
    <t>TN Arg vs RSA</t>
  </si>
  <si>
    <t xml:space="preserve">Junio </t>
  </si>
  <si>
    <t>Total Cargado (TN)</t>
  </si>
  <si>
    <t>Total Exportado Anual</t>
  </si>
  <si>
    <t>Otros Destinos Argentina:  incluye  Middle East, Far East, America Sur</t>
  </si>
  <si>
    <t xml:space="preserve"> Otros Destinos RSA incluye: South East Asia, Middle East, Africa and Islands, Asia</t>
  </si>
  <si>
    <t>*Información del SENASA ( mercadería certificada)</t>
  </si>
  <si>
    <r>
      <t xml:space="preserve">Destino Exportac.Argentina </t>
    </r>
    <r>
      <rPr>
        <b/>
        <u/>
        <sz val="14"/>
        <rFont val="Century Gothic"/>
        <family val="2"/>
      </rPr>
      <t>Limones</t>
    </r>
    <r>
      <rPr>
        <b/>
        <sz val="14"/>
        <rFont val="Century Gothic"/>
        <family val="2"/>
      </rPr>
      <t xml:space="preserve"> a:</t>
    </r>
  </si>
  <si>
    <t>CANCROSIS</t>
  </si>
  <si>
    <t>Total Cancro</t>
  </si>
  <si>
    <t>MANCHA NEGRA</t>
  </si>
  <si>
    <t>Total MANCHA</t>
  </si>
  <si>
    <t>MOSCA</t>
  </si>
  <si>
    <t>Total MOSCA</t>
  </si>
  <si>
    <t>Total general</t>
  </si>
  <si>
    <t>Destino</t>
  </si>
  <si>
    <t>BLOQ</t>
  </si>
  <si>
    <t>INHAB</t>
  </si>
  <si>
    <t>PH</t>
  </si>
  <si>
    <t>UE</t>
  </si>
  <si>
    <t>Fecha Detección</t>
  </si>
  <si>
    <t>Cuenta de SITUACION</t>
  </si>
  <si>
    <t>Etiquetas de columna</t>
  </si>
  <si>
    <t>Etiquetas de fila</t>
  </si>
  <si>
    <t>CANCRO</t>
  </si>
  <si>
    <t>MANCHA</t>
  </si>
  <si>
    <t>*Anulado y Negativo: Laboratorio negativo</t>
  </si>
  <si>
    <t xml:space="preserve">*Bloqueo cancro: Es la 1 deteccion del establec. En la cual queda bloqueada la U.P, pero no afecta lotes aledaños (U.E). </t>
  </si>
  <si>
    <t>*Bloqueo Mancha Negra: Es la 1 deteccion de una U.P, solo permite que los pallets despachados ingresen a puerto.</t>
  </si>
  <si>
    <t>*Inhabilitación M.N: Segunda detección del establec. De M.N y se dispara la investigac al campo.</t>
  </si>
  <si>
    <t>*Inhabilitación Cancro: Segunda detección en el establ., se inhabilita la U.P y caen aledaños.</t>
  </si>
  <si>
    <t>Exportaciones</t>
  </si>
  <si>
    <t>Frutas citricas</t>
  </si>
  <si>
    <t>(Lim, Mand, Pom, Nar)</t>
  </si>
  <si>
    <t>Total CANCRO</t>
  </si>
  <si>
    <t>BRASIL</t>
  </si>
  <si>
    <t>MEXICO</t>
  </si>
  <si>
    <t>Pais destino</t>
  </si>
  <si>
    <t>BR</t>
  </si>
  <si>
    <t>UE/BR</t>
  </si>
  <si>
    <t>USA/UE/BR</t>
  </si>
  <si>
    <t>USA/UE/BR/MX</t>
  </si>
  <si>
    <t xml:space="preserve">*Bloqueo cancro: Es la 1 deteccion del establec., en la cual queda bloqueada la U.P, pero no afecta lotes aledaños (U.E). </t>
  </si>
  <si>
    <t xml:space="preserve">MANCHA </t>
  </si>
  <si>
    <t>Año 2021</t>
  </si>
  <si>
    <t>Año 2020</t>
  </si>
  <si>
    <t>MEX</t>
  </si>
  <si>
    <t>CN</t>
  </si>
  <si>
    <t>EVEN</t>
  </si>
  <si>
    <t>(Todas)</t>
  </si>
  <si>
    <t>Brasil</t>
  </si>
  <si>
    <t>Provincia</t>
  </si>
  <si>
    <t>Buenos Aires</t>
  </si>
  <si>
    <t>Corrientes</t>
  </si>
  <si>
    <t>Jujuy</t>
  </si>
  <si>
    <t>Salta</t>
  </si>
  <si>
    <t>Tucuman</t>
  </si>
  <si>
    <t>Tn a UE</t>
  </si>
  <si>
    <t>Tn a CHL</t>
  </si>
  <si>
    <t>Tn a BRA</t>
  </si>
  <si>
    <t>Tn a CHN</t>
  </si>
  <si>
    <t>Tn a COL</t>
  </si>
  <si>
    <t>Tn a KOR</t>
  </si>
  <si>
    <t>Tn a MEX</t>
  </si>
  <si>
    <t>Tn a PHL</t>
  </si>
  <si>
    <t>Tn a USA</t>
  </si>
  <si>
    <t>Tn A OD</t>
  </si>
  <si>
    <t>TOTAL</t>
  </si>
  <si>
    <t>Entre Rios</t>
  </si>
  <si>
    <t>TOTAL LIMON</t>
  </si>
  <si>
    <t>TOTAL NARANJA</t>
  </si>
  <si>
    <t>TOTAL MANDARINA</t>
  </si>
  <si>
    <t>Misiones</t>
  </si>
  <si>
    <t xml:space="preserve">Julio </t>
  </si>
  <si>
    <t>EXPORTADOR</t>
  </si>
  <si>
    <t>PARANA BASIN FRUIT S.R.L.</t>
  </si>
  <si>
    <t>Tn a Rusia</t>
  </si>
  <si>
    <t>Tn U.K</t>
  </si>
  <si>
    <t>Nota: Los valores que figura en rojo son datos obtenidos de la base del SENASA "fruta certificada", ya que al ser paises que no tienen Protocolo con restricciones no figuran en el SITC - Fruta despachada.</t>
  </si>
  <si>
    <t xml:space="preserve">*Otros Destinos:  incluye Canada, Middle East, Far East, America Sur (se descontó del total de O.D: China, PHL, Mex, Bras) </t>
  </si>
  <si>
    <t>Fuente: Sistema Informatico de Trazabilidad Citricola (SITC)</t>
  </si>
  <si>
    <t>* Solo figuran mercados con restricciones.</t>
  </si>
  <si>
    <t>Nº</t>
  </si>
  <si>
    <t>ESPECIE</t>
  </si>
  <si>
    <t>PUERTO SALIDA</t>
  </si>
  <si>
    <t>PUERTO ENTRADA</t>
  </si>
  <si>
    <t>PAIS DE INTERCEPCION</t>
  </si>
  <si>
    <t>FECHA FITOSANITARIO</t>
  </si>
  <si>
    <t>FECHA INTERCEPCION</t>
  </si>
  <si>
    <t>FECHA NOTIFICACION</t>
  </si>
  <si>
    <t>CAUSA</t>
  </si>
  <si>
    <t>MOTIVO BIS</t>
  </si>
  <si>
    <t>REGION</t>
  </si>
  <si>
    <t>ORIGEN FRUTA</t>
  </si>
  <si>
    <t>Empaque</t>
  </si>
  <si>
    <t>Citrus sinensis</t>
  </si>
  <si>
    <t>Ruta 9</t>
  </si>
  <si>
    <t>Lisboa</t>
  </si>
  <si>
    <t>Portugal</t>
  </si>
  <si>
    <t>Sanitaria</t>
  </si>
  <si>
    <t>Mancha Negra</t>
  </si>
  <si>
    <t>NEA</t>
  </si>
  <si>
    <t>AGRÍCOLA SOL NACIENTE S.R.L.</t>
  </si>
  <si>
    <t>FRUTUCUMAN S.A</t>
  </si>
  <si>
    <t>Citrus limon</t>
  </si>
  <si>
    <t>Capitan Cortes</t>
  </si>
  <si>
    <t>Livorno</t>
  </si>
  <si>
    <t>Gorgojo</t>
  </si>
  <si>
    <t>NOA</t>
  </si>
  <si>
    <t>AGROPECUARIA EL SAUCE S.A.</t>
  </si>
  <si>
    <t>S.A. SAN MIGUEL AGICIYF</t>
  </si>
  <si>
    <t>Cancrosis</t>
  </si>
  <si>
    <t>cancrosis: 35 NOA Y 3 NEA</t>
  </si>
  <si>
    <t>Acumulado W 33 Tn.</t>
  </si>
  <si>
    <t>BRAS</t>
  </si>
  <si>
    <t>DESTINO / W</t>
  </si>
  <si>
    <t>ARG</t>
  </si>
  <si>
    <t>RUSIA</t>
  </si>
  <si>
    <t>OTROS DESTINOS</t>
  </si>
  <si>
    <t>DIF TOTAL</t>
  </si>
  <si>
    <t>DIF USA</t>
  </si>
  <si>
    <t>DIF UE</t>
  </si>
  <si>
    <t>Agosto</t>
  </si>
  <si>
    <t>2021 - Acum sem 35</t>
  </si>
  <si>
    <t>Semana 34</t>
  </si>
  <si>
    <t>Septiembre 10/09</t>
  </si>
  <si>
    <t>Exportacion Argentina de Citricos a sem 36</t>
  </si>
  <si>
    <t>Total Acum Sem 36</t>
  </si>
  <si>
    <t>2021 - Acum sem 36</t>
  </si>
  <si>
    <t>Acumulado a semana 36</t>
  </si>
  <si>
    <t>10 de Septiembre</t>
  </si>
  <si>
    <t>Total Expo Limon (w 36)</t>
  </si>
  <si>
    <t>Total Cargado Limones SUDAFRICA sem 35</t>
  </si>
  <si>
    <t>Semana 35</t>
  </si>
  <si>
    <t>Total Cargado Limones Argentina sem 36</t>
  </si>
  <si>
    <t>Cargas Argentina       Acumulado                            sem 36</t>
  </si>
  <si>
    <t>Cargas de RSA Acumulado Sem 35</t>
  </si>
  <si>
    <t>Toneladas en Pallets Despachadas LIMON Semana 36 ACTUAL</t>
  </si>
  <si>
    <t>Toneladas en Pallets Despachadas LIMON Semana 35</t>
  </si>
  <si>
    <t>Toneladas en Pallets Despachadas NARANJA Semana 36 ACTUAL</t>
  </si>
  <si>
    <t>Toneladas en Pallets Despachadas NARANJA Semana 35</t>
  </si>
  <si>
    <t>Toneladas en Pallets Despachadas MANDARINA Semana 36 ACTUAL</t>
  </si>
  <si>
    <t>Toneladas en Pallets Despachadas MANDARINA Semana 35</t>
  </si>
  <si>
    <t>TOTAL GENERAL TN DESPACHADAS, LIMON, NARANJA Y MANDARINA semana 36</t>
  </si>
  <si>
    <t>TOTAL GENERAL TN DESPACHADAS, LIMON, NARANJA Y MANDARINA Semana 35</t>
  </si>
  <si>
    <t>Resumen Detecciones en PUERTO al 10-09-2021</t>
  </si>
  <si>
    <t>Resumen Detecciones en PUERTO al 10-09-2020</t>
  </si>
  <si>
    <t>Resumen Detecciones en EMPAQUE al 10-09-2020</t>
  </si>
  <si>
    <t>Resumen Detecciones en EMPAQUE al 10-09-2021</t>
  </si>
  <si>
    <t>Exportaciones de ARGENTINA Y RSA a ----- U.E - UK - RUSIA - USA - Otros… W 35 (RSA) y 36 (Arg)</t>
  </si>
  <si>
    <t>Año 2019</t>
  </si>
  <si>
    <t>Variación en % 2021 vs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</si>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</sst>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 #,##0.00_-;_-* &quot;-&quot;??_-;_-@_-"/>
    <numFmt numFmtId="165" formatCode="&quot;Sem&quot;0"/>
    <numFmt numFmtId="166" formatCode="_-* #,##0_-;\-* #,##0_-;_-* &quot;-&quot;??_-;_-@_-"/>
  </numFmts>
  <fonts count="66" x14ac:knownFonts="1">
    <font>
      <sz val="11"/>
      <color theme="1"/>
      <name val="Calibri"/>
      <family val="2"/>
      <scheme val="minor"/>
    </font>
    <font>
      <sz val="11"/>
      <color theme="1"/>
      <name val="Calibri"/>
      <family val="2"/>
      <scheme val="minor"/>
    </font>
    <font>
      <b/>
      <sz val="14"/>
      <name val="Century Gothic"/>
      <family val="2"/>
    </font>
    <font>
      <sz val="14"/>
      <color theme="1"/>
      <name val="Calibri"/>
      <family val="2"/>
      <scheme val="minor"/>
    </font>
    <font>
      <b/>
      <sz val="14"/>
      <color theme="1"/>
      <name val="Calibri"/>
      <family val="2"/>
      <scheme val="minor"/>
    </font>
    <font>
      <b/>
      <sz val="14"/>
      <color theme="1"/>
      <name val="Calibri Light"/>
      <family val="2"/>
    </font>
    <font>
      <sz val="14"/>
      <color theme="1"/>
      <name val="Calibri Light"/>
      <family val="2"/>
    </font>
    <font>
      <sz val="14"/>
      <name val="Century Gothic"/>
      <family val="2"/>
    </font>
    <font>
      <b/>
      <i/>
      <sz val="14"/>
      <name val="Century Gothic"/>
      <family val="2"/>
    </font>
    <font>
      <b/>
      <sz val="14"/>
      <color indexed="9"/>
      <name val="Century Gothic"/>
      <family val="2"/>
    </font>
    <font>
      <sz val="14"/>
      <name val="Calibri Light"/>
      <family val="2"/>
    </font>
    <font>
      <b/>
      <sz val="14"/>
      <name val="Calibri Light"/>
      <family val="2"/>
    </font>
    <font>
      <b/>
      <sz val="11"/>
      <color theme="1"/>
      <name val="Calibri"/>
      <family val="2"/>
      <scheme val="minor"/>
    </font>
    <font>
      <sz val="12"/>
      <name val="Century Gothic"/>
      <family val="2"/>
    </font>
    <font>
      <b/>
      <u/>
      <sz val="10"/>
      <name val="Century Gothic"/>
      <family val="2"/>
    </font>
    <font>
      <b/>
      <u/>
      <sz val="12"/>
      <color theme="1"/>
      <name val="Calibri"/>
      <family val="2"/>
      <scheme val="minor"/>
    </font>
    <font>
      <sz val="12"/>
      <color theme="1"/>
      <name val="Calibri"/>
      <family val="2"/>
      <scheme val="minor"/>
    </font>
    <font>
      <b/>
      <sz val="12"/>
      <color theme="1"/>
      <name val="Calibri"/>
      <family val="2"/>
      <scheme val="minor"/>
    </font>
    <font>
      <b/>
      <sz val="12"/>
      <color theme="1"/>
      <name val="Calibri Light"/>
      <family val="2"/>
    </font>
    <font>
      <sz val="12"/>
      <color theme="1"/>
      <name val="Calibri Light"/>
      <family val="2"/>
    </font>
    <font>
      <b/>
      <sz val="12"/>
      <name val="Century Gothic"/>
      <family val="2"/>
    </font>
    <font>
      <sz val="12"/>
      <color theme="0"/>
      <name val="Century Gothic"/>
      <family val="2"/>
    </font>
    <font>
      <b/>
      <sz val="12"/>
      <color indexed="9"/>
      <name val="Century Gothic"/>
      <family val="2"/>
    </font>
    <font>
      <sz val="12"/>
      <color rgb="FFFF0000"/>
      <name val="Calibri"/>
      <family val="2"/>
      <scheme val="minor"/>
    </font>
    <font>
      <b/>
      <sz val="12"/>
      <color rgb="FF00B050"/>
      <name val="Calibri"/>
      <family val="2"/>
      <scheme val="minor"/>
    </font>
    <font>
      <sz val="10"/>
      <name val="Century Gothic"/>
      <family val="2"/>
    </font>
    <font>
      <b/>
      <sz val="10"/>
      <color theme="1"/>
      <name val="Calibri"/>
      <family val="2"/>
      <scheme val="minor"/>
    </font>
    <font>
      <sz val="10"/>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b/>
      <u/>
      <sz val="14"/>
      <name val="Century Gothic"/>
      <family val="2"/>
    </font>
    <font>
      <sz val="14"/>
      <color rgb="FFFF0000"/>
      <name val="Calibri Light"/>
      <family val="2"/>
    </font>
    <font>
      <sz val="14"/>
      <color rgb="FFFF0000"/>
      <name val="Calibri"/>
      <family val="2"/>
      <scheme val="minor"/>
    </font>
    <font>
      <b/>
      <sz val="14"/>
      <color rgb="FFFF0000"/>
      <name val="Calibri Light"/>
      <family val="2"/>
    </font>
    <font>
      <sz val="14"/>
      <name val="Calibri"/>
      <family val="2"/>
      <scheme val="minor"/>
    </font>
    <font>
      <b/>
      <sz val="14"/>
      <color rgb="FFFF0000"/>
      <name val="Calibri"/>
      <family val="2"/>
      <scheme val="minor"/>
    </font>
    <font>
      <b/>
      <sz val="14"/>
      <color theme="0"/>
      <name val="Calibri Light"/>
      <family val="2"/>
    </font>
    <font>
      <b/>
      <sz val="14"/>
      <color rgb="FF00B050"/>
      <name val="Calibri"/>
      <family val="2"/>
      <scheme val="minor"/>
    </font>
    <font>
      <b/>
      <u/>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sz val="16"/>
      <color theme="0"/>
      <name val="Calibri"/>
      <family val="2"/>
      <scheme val="minor"/>
    </font>
    <font>
      <b/>
      <sz val="16"/>
      <color theme="0"/>
      <name val="Calibri"/>
      <family val="2"/>
      <scheme val="minor"/>
    </font>
    <font>
      <sz val="16"/>
      <name val="Calibri"/>
      <family val="2"/>
      <scheme val="minor"/>
    </font>
    <font>
      <b/>
      <sz val="11"/>
      <name val="Calibri"/>
      <family val="2"/>
      <scheme val="minor"/>
    </font>
    <font>
      <sz val="10"/>
      <name val="Arial"/>
      <family val="2"/>
    </font>
    <font>
      <b/>
      <sz val="10"/>
      <color theme="0"/>
      <name val="Calibri"/>
      <family val="2"/>
      <scheme val="minor"/>
    </font>
    <font>
      <sz val="13"/>
      <color theme="1"/>
      <name val="Calibri"/>
      <family val="2"/>
      <scheme val="minor"/>
    </font>
    <font>
      <b/>
      <sz val="13"/>
      <name val="Century Gothic"/>
      <family val="2"/>
    </font>
    <font>
      <sz val="13"/>
      <name val="Century Gothic"/>
      <family val="2"/>
    </font>
    <font>
      <b/>
      <i/>
      <sz val="13"/>
      <name val="Century Gothic"/>
      <family val="2"/>
    </font>
    <font>
      <sz val="13"/>
      <color theme="0"/>
      <name val="Century Gothic"/>
      <family val="2"/>
    </font>
    <font>
      <b/>
      <sz val="13"/>
      <color indexed="9"/>
      <name val="Century Gothic"/>
      <family val="2"/>
    </font>
    <font>
      <b/>
      <sz val="13"/>
      <color theme="1"/>
      <name val="Calibri Light"/>
      <family val="2"/>
    </font>
    <font>
      <sz val="13"/>
      <color theme="1"/>
      <name val="Calibri Light"/>
      <family val="2"/>
    </font>
    <font>
      <sz val="13"/>
      <name val="Calibri Light"/>
      <family val="2"/>
    </font>
    <font>
      <b/>
      <sz val="13"/>
      <name val="Calibri Light"/>
      <family val="2"/>
    </font>
    <font>
      <b/>
      <sz val="14"/>
      <name val="Calibri"/>
      <family val="2"/>
      <scheme val="minor"/>
    </font>
  </fonts>
  <fills count="31">
    <fill>
      <patternFill patternType="none"/>
    </fill>
    <fill>
      <patternFill patternType="gray125"/>
    </fill>
    <fill>
      <patternFill patternType="solid">
        <fgColor rgb="FF333300"/>
        <bgColor indexed="64"/>
      </patternFill>
    </fill>
    <fill>
      <patternFill patternType="solid">
        <fgColor indexed="59"/>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D8D8D8"/>
        <bgColor indexed="64"/>
      </patternFill>
    </fill>
    <fill>
      <patternFill patternType="solid">
        <fgColor rgb="FFF7CAA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bgColor theme="4" tint="0.79998168889431442"/>
      </patternFill>
    </fill>
    <fill>
      <patternFill patternType="solid">
        <fgColor theme="9" tint="0.39997558519241921"/>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theme="0" tint="-0.14999847407452621"/>
      </patternFill>
    </fill>
    <fill>
      <patternFill patternType="solid">
        <fgColor theme="5" tint="-0.249977111117893"/>
        <bgColor indexed="64"/>
      </patternFill>
    </fill>
    <fill>
      <patternFill patternType="solid">
        <fgColor theme="1" tint="0.24997711111789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9" tint="0.59999389629810485"/>
        <bgColor indexed="64"/>
      </patternFill>
    </fill>
  </fills>
  <borders count="133">
    <border>
      <left/>
      <right/>
      <top/>
      <bottom/>
      <diagonal/>
    </border>
    <border>
      <left style="thin">
        <color indexed="23"/>
      </left>
      <right/>
      <top style="thin">
        <color indexed="23"/>
      </top>
      <bottom/>
      <diagonal/>
    </border>
    <border>
      <left style="thin">
        <color indexed="16"/>
      </left>
      <right/>
      <top/>
      <bottom/>
      <diagonal/>
    </border>
    <border>
      <left/>
      <right style="thin">
        <color indexed="64"/>
      </right>
      <top/>
      <bottom/>
      <diagonal/>
    </border>
    <border>
      <left style="thin">
        <color indexed="64"/>
      </left>
      <right/>
      <top/>
      <bottom/>
      <diagonal/>
    </border>
    <border>
      <left style="thin">
        <color indexed="23"/>
      </left>
      <right/>
      <top/>
      <bottom/>
      <diagonal/>
    </border>
    <border>
      <left style="medium">
        <color theme="9" tint="-0.24994659260841701"/>
      </left>
      <right/>
      <top style="medium">
        <color theme="9" tint="-0.24994659260841701"/>
      </top>
      <bottom style="medium">
        <color theme="9" tint="-0.24994659260841701"/>
      </bottom>
      <diagonal/>
    </border>
    <border>
      <left style="thin">
        <color indexed="16"/>
      </left>
      <right/>
      <top style="medium">
        <color theme="9" tint="-0.24994659260841701"/>
      </top>
      <bottom style="medium">
        <color theme="9" tint="-0.24994659260841701"/>
      </bottom>
      <diagonal/>
    </border>
    <border>
      <left style="medium">
        <color indexed="23"/>
      </left>
      <right style="dashed">
        <color indexed="23"/>
      </right>
      <top style="medium">
        <color indexed="23"/>
      </top>
      <bottom style="dashed">
        <color indexed="23"/>
      </bottom>
      <diagonal/>
    </border>
    <border>
      <left style="dashed">
        <color indexed="23"/>
      </left>
      <right style="dashed">
        <color indexed="23"/>
      </right>
      <top style="medium">
        <color indexed="23"/>
      </top>
      <bottom style="dashed">
        <color indexed="23"/>
      </bottom>
      <diagonal/>
    </border>
    <border>
      <left style="dashed">
        <color indexed="23"/>
      </left>
      <right style="medium">
        <color indexed="23"/>
      </right>
      <top style="medium">
        <color indexed="23"/>
      </top>
      <bottom style="dashed">
        <color indexed="23"/>
      </bottom>
      <diagonal/>
    </border>
    <border>
      <left style="medium">
        <color indexed="23"/>
      </left>
      <right style="dashed">
        <color indexed="23"/>
      </right>
      <top style="dashed">
        <color indexed="23"/>
      </top>
      <bottom style="dashed">
        <color indexed="23"/>
      </bottom>
      <diagonal/>
    </border>
    <border>
      <left style="dashed">
        <color indexed="23"/>
      </left>
      <right style="dashed">
        <color indexed="23"/>
      </right>
      <top style="dashed">
        <color indexed="23"/>
      </top>
      <bottom style="dashed">
        <color indexed="23"/>
      </bottom>
      <diagonal/>
    </border>
    <border>
      <left style="dashed">
        <color indexed="23"/>
      </left>
      <right style="medium">
        <color indexed="23"/>
      </right>
      <top style="dashed">
        <color indexed="23"/>
      </top>
      <bottom style="dashed">
        <color indexed="23"/>
      </bottom>
      <diagonal/>
    </border>
    <border>
      <left style="medium">
        <color indexed="23"/>
      </left>
      <right style="dashed">
        <color indexed="23"/>
      </right>
      <top/>
      <bottom style="dashed">
        <color indexed="23"/>
      </bottom>
      <diagonal/>
    </border>
    <border>
      <left style="dashed">
        <color indexed="23"/>
      </left>
      <right style="dashed">
        <color indexed="23"/>
      </right>
      <top/>
      <bottom style="dashed">
        <color indexed="23"/>
      </bottom>
      <diagonal/>
    </border>
    <border>
      <left style="thin">
        <color indexed="16"/>
      </left>
      <right/>
      <top/>
      <bottom style="medium">
        <color indexed="23"/>
      </bottom>
      <diagonal/>
    </border>
    <border>
      <left/>
      <right/>
      <top/>
      <bottom style="medium">
        <color indexed="23"/>
      </bottom>
      <diagonal/>
    </border>
    <border>
      <left style="medium">
        <color indexed="23"/>
      </left>
      <right style="dashed">
        <color indexed="23"/>
      </right>
      <top style="mediumDashDot">
        <color indexed="23"/>
      </top>
      <bottom/>
      <diagonal/>
    </border>
    <border>
      <left style="dashed">
        <color indexed="23"/>
      </left>
      <right style="dashed">
        <color indexed="23"/>
      </right>
      <top style="mediumDashDot">
        <color indexed="23"/>
      </top>
      <bottom/>
      <diagonal/>
    </border>
    <border>
      <left style="dashed">
        <color indexed="23"/>
      </left>
      <right/>
      <top style="mediumDashDot">
        <color indexed="23"/>
      </top>
      <bottom/>
      <diagonal/>
    </border>
    <border>
      <left style="dashed">
        <color indexed="23"/>
      </left>
      <right/>
      <top style="dashed">
        <color indexed="23"/>
      </top>
      <bottom style="dashed">
        <color indexed="23"/>
      </bottom>
      <diagonal/>
    </border>
    <border>
      <left style="dashed">
        <color indexed="23"/>
      </left>
      <right/>
      <top/>
      <bottom style="dashed">
        <color indexed="23"/>
      </bottom>
      <diagonal/>
    </border>
    <border>
      <left style="mediumDashed">
        <color indexed="23"/>
      </left>
      <right style="dashed">
        <color indexed="23"/>
      </right>
      <top style="medium">
        <color indexed="23"/>
      </top>
      <bottom style="dashed">
        <color indexed="23"/>
      </bottom>
      <diagonal/>
    </border>
    <border>
      <left style="dashed">
        <color indexed="23"/>
      </left>
      <right style="mediumDashed">
        <color indexed="23"/>
      </right>
      <top style="medium">
        <color indexed="23"/>
      </top>
      <bottom style="dashed">
        <color indexed="23"/>
      </bottom>
      <diagonal/>
    </border>
    <border>
      <left style="mediumDashed">
        <color indexed="23"/>
      </left>
      <right style="dashed">
        <color indexed="23"/>
      </right>
      <top style="dashed">
        <color indexed="23"/>
      </top>
      <bottom style="dashed">
        <color indexed="23"/>
      </bottom>
      <diagonal/>
    </border>
    <border>
      <left style="dashed">
        <color indexed="23"/>
      </left>
      <right style="mediumDashed">
        <color indexed="23"/>
      </right>
      <top style="dashed">
        <color indexed="23"/>
      </top>
      <bottom style="dashed">
        <color indexed="23"/>
      </bottom>
      <diagonal/>
    </border>
    <border>
      <left style="dashed">
        <color indexed="23"/>
      </left>
      <right style="mediumDashed">
        <color indexed="23"/>
      </right>
      <top style="mediumDashDot">
        <color indexed="23"/>
      </top>
      <bottom/>
      <diagonal/>
    </border>
    <border>
      <left/>
      <right style="dashed">
        <color indexed="23"/>
      </right>
      <top style="medium">
        <color indexed="23"/>
      </top>
      <bottom style="dashed">
        <color indexed="23"/>
      </bottom>
      <diagonal/>
    </border>
    <border>
      <left/>
      <right style="dashed">
        <color indexed="23"/>
      </right>
      <top style="dashed">
        <color indexed="23"/>
      </top>
      <bottom style="dashed">
        <color indexed="23"/>
      </bottom>
      <diagonal/>
    </border>
    <border>
      <left/>
      <right style="dashed">
        <color indexed="23"/>
      </right>
      <top/>
      <bottom style="dashed">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tted">
        <color indexed="23"/>
      </left>
      <right style="mediumDashed">
        <color indexed="23"/>
      </right>
      <top style="mediumDashed">
        <color indexed="23"/>
      </top>
      <bottom style="mediumDashed">
        <color indexed="23"/>
      </bottom>
      <diagonal/>
    </border>
    <border>
      <left style="mediumDashed">
        <color indexed="23"/>
      </left>
      <right style="mediumDashed">
        <color indexed="23"/>
      </right>
      <top style="mediumDashed">
        <color indexed="23"/>
      </top>
      <bottom style="mediumDashed">
        <color indexed="23"/>
      </bottom>
      <diagonal/>
    </border>
    <border>
      <left style="slantDashDot">
        <color indexed="23"/>
      </left>
      <right style="dashed">
        <color indexed="23"/>
      </right>
      <top style="mediumDashDot">
        <color indexed="23"/>
      </top>
      <bottom style="slantDashDot">
        <color indexed="23"/>
      </bottom>
      <diagonal/>
    </border>
    <border>
      <left style="dashed">
        <color indexed="23"/>
      </left>
      <right style="slantDashDot">
        <color indexed="23"/>
      </right>
      <top style="mediumDashDot">
        <color indexed="23"/>
      </top>
      <bottom style="slantDashDot">
        <color indexed="23"/>
      </bottom>
      <diagonal/>
    </border>
    <border>
      <left style="thick">
        <color indexed="23"/>
      </left>
      <right style="dashed">
        <color indexed="23"/>
      </right>
      <top style="slantDashDot">
        <color indexed="23"/>
      </top>
      <bottom style="thick">
        <color indexed="23"/>
      </bottom>
      <diagonal/>
    </border>
    <border>
      <left/>
      <right style="thick">
        <color indexed="23"/>
      </right>
      <top style="slantDashDot">
        <color indexed="23"/>
      </top>
      <bottom style="thick">
        <color indexed="23"/>
      </bottom>
      <diagonal/>
    </border>
    <border>
      <left style="mediumDashed">
        <color indexed="23"/>
      </left>
      <right style="dotted">
        <color indexed="23"/>
      </right>
      <top style="dashed">
        <color indexed="23"/>
      </top>
      <bottom style="dotted">
        <color indexed="23"/>
      </bottom>
      <diagonal/>
    </border>
    <border>
      <left style="dotted">
        <color indexed="23"/>
      </left>
      <right style="dotted">
        <color indexed="23"/>
      </right>
      <top style="dashed">
        <color indexed="23"/>
      </top>
      <bottom style="dotted">
        <color indexed="23"/>
      </bottom>
      <diagonal/>
    </border>
    <border>
      <left style="dotted">
        <color indexed="23"/>
      </left>
      <right style="mediumDashed">
        <color indexed="23"/>
      </right>
      <top style="dashed">
        <color indexed="23"/>
      </top>
      <bottom style="dotted">
        <color indexed="23"/>
      </bottom>
      <diagonal/>
    </border>
    <border>
      <left style="dashed">
        <color rgb="FF808080"/>
      </left>
      <right style="medium">
        <color rgb="FFCCCCCC"/>
      </right>
      <top style="medium">
        <color rgb="FFCCCCCC"/>
      </top>
      <bottom style="dotted">
        <color rgb="FF000000"/>
      </bottom>
      <diagonal/>
    </border>
    <border>
      <left style="dashed">
        <color rgb="FF808080"/>
      </left>
      <right style="medium">
        <color rgb="FFCCCCCC"/>
      </right>
      <top/>
      <bottom style="dotted">
        <color rgb="FF000000"/>
      </bottom>
      <diagonal/>
    </border>
    <border>
      <left style="dashed">
        <color rgb="FF808080"/>
      </left>
      <right style="medium">
        <color rgb="FFCCCCCC"/>
      </right>
      <top style="medium">
        <color rgb="FFCCCCCC"/>
      </top>
      <bottom/>
      <diagonal/>
    </border>
    <border>
      <left style="medium">
        <color indexed="64"/>
      </left>
      <right/>
      <top style="medium">
        <color indexed="64"/>
      </top>
      <bottom style="medium">
        <color indexed="64"/>
      </bottom>
      <diagonal/>
    </border>
    <border>
      <left/>
      <right/>
      <top style="medium">
        <color auto="1"/>
      </top>
      <bottom style="dashed">
        <color auto="1"/>
      </bottom>
      <diagonal/>
    </border>
    <border>
      <left/>
      <right/>
      <top style="medium">
        <color auto="1"/>
      </top>
      <bottom style="dotted">
        <color auto="1"/>
      </bottom>
      <diagonal/>
    </border>
    <border>
      <left/>
      <right/>
      <top style="dashed">
        <color auto="1"/>
      </top>
      <bottom style="medium">
        <color auto="1"/>
      </bottom>
      <diagonal/>
    </border>
    <border>
      <left/>
      <right/>
      <top style="dotted">
        <color auto="1"/>
      </top>
      <bottom style="medium">
        <color auto="1"/>
      </bottom>
      <diagonal/>
    </border>
    <border>
      <left style="medium">
        <color indexed="64"/>
      </left>
      <right/>
      <top style="medium">
        <color indexed="64"/>
      </top>
      <bottom style="dashed">
        <color auto="1"/>
      </bottom>
      <diagonal/>
    </border>
    <border>
      <left style="medium">
        <color indexed="64"/>
      </left>
      <right/>
      <top style="dashed">
        <color auto="1"/>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dashed">
        <color indexed="23"/>
      </right>
      <top style="mediumDashDot">
        <color indexed="23"/>
      </top>
      <bottom style="mediumDashDot">
        <color indexed="23"/>
      </bottom>
      <diagonal/>
    </border>
    <border>
      <left/>
      <right/>
      <top/>
      <bottom style="dotted">
        <color rgb="FF000000"/>
      </bottom>
      <diagonal/>
    </border>
    <border>
      <left/>
      <right/>
      <top style="medium">
        <color rgb="FFCCCCCC"/>
      </top>
      <bottom style="dotted">
        <color rgb="FF000000"/>
      </bottom>
      <diagonal/>
    </border>
    <border>
      <left/>
      <right/>
      <top style="medium">
        <color rgb="FFCCCCCC"/>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CCCCCC"/>
      </left>
      <right style="thin">
        <color indexed="64"/>
      </right>
      <top style="medium">
        <color rgb="FFCCCCCC"/>
      </top>
      <bottom style="mediumDashed">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23"/>
      </left>
      <right style="dashed">
        <color indexed="23"/>
      </right>
      <top style="mediumDashDot">
        <color indexed="23"/>
      </top>
      <bottom style="mediumDashDot">
        <color indexed="23"/>
      </bottom>
      <diagonal/>
    </border>
    <border>
      <left style="mediumDashed">
        <color indexed="23"/>
      </left>
      <right style="dashed">
        <color indexed="23"/>
      </right>
      <top/>
      <bottom style="dashed">
        <color indexed="23"/>
      </bottom>
      <diagonal/>
    </border>
    <border>
      <left style="dashed">
        <color indexed="23"/>
      </left>
      <right style="mediumDashed">
        <color indexed="23"/>
      </right>
      <top/>
      <bottom style="dashed">
        <color indexed="23"/>
      </bottom>
      <diagonal/>
    </border>
    <border>
      <left style="mediumDashed">
        <color indexed="23"/>
      </left>
      <right style="dotted">
        <color indexed="23"/>
      </right>
      <top/>
      <bottom style="dotted">
        <color indexed="23"/>
      </bottom>
      <diagonal/>
    </border>
    <border>
      <left style="dotted">
        <color indexed="23"/>
      </left>
      <right style="dotted">
        <color indexed="23"/>
      </right>
      <top/>
      <bottom style="dotted">
        <color indexed="23"/>
      </bottom>
      <diagonal/>
    </border>
    <border>
      <left style="dotted">
        <color indexed="23"/>
      </left>
      <right style="mediumDashed">
        <color indexed="23"/>
      </right>
      <top/>
      <bottom style="dotted">
        <color indexed="23"/>
      </bottom>
      <diagonal/>
    </border>
    <border>
      <left style="dashed">
        <color indexed="23"/>
      </left>
      <right style="dashed">
        <color indexed="23"/>
      </right>
      <top style="mediumDashDot">
        <color indexed="23"/>
      </top>
      <bottom style="mediumDashDot">
        <color indexed="23"/>
      </bottom>
      <diagonal/>
    </border>
    <border>
      <left style="dashed">
        <color indexed="23"/>
      </left>
      <right/>
      <top style="mediumDashDot">
        <color indexed="23"/>
      </top>
      <bottom style="mediumDashDot">
        <color indexed="23"/>
      </bottom>
      <diagonal/>
    </border>
    <border>
      <left style="medium">
        <color rgb="FFCCCCCC"/>
      </left>
      <right style="thin">
        <color indexed="64"/>
      </right>
      <top style="medium">
        <color rgb="FFCCCCCC"/>
      </top>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auto="1"/>
      </bottom>
      <diagonal/>
    </border>
    <border>
      <left style="medium">
        <color indexed="64"/>
      </left>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medium">
        <color auto="1"/>
      </left>
      <right style="hair">
        <color auto="1"/>
      </right>
      <top style="medium">
        <color auto="1"/>
      </top>
      <bottom style="medium">
        <color auto="1"/>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dotted">
        <color auto="1"/>
      </left>
      <right style="dotted">
        <color auto="1"/>
      </right>
      <top style="dotted">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rgb="FF808080"/>
      </left>
      <right/>
      <top/>
      <bottom style="dotted">
        <color rgb="FF000000"/>
      </bottom>
      <diagonal/>
    </border>
    <border>
      <left style="dashed">
        <color rgb="FF808080"/>
      </left>
      <right/>
      <top style="medium">
        <color rgb="FFCCCCCC"/>
      </top>
      <bottom style="dotted">
        <color rgb="FF000000"/>
      </bottom>
      <diagonal/>
    </border>
    <border>
      <left style="dashed">
        <color rgb="FF808080"/>
      </left>
      <right/>
      <top style="medium">
        <color rgb="FFCCCCCC"/>
      </top>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53" fillId="0" borderId="0"/>
  </cellStyleXfs>
  <cellXfs count="420">
    <xf numFmtId="0" fontId="0" fillId="0" borderId="0" xfId="0"/>
    <xf numFmtId="0" fontId="2" fillId="0" borderId="0" xfId="0" applyFont="1"/>
    <xf numFmtId="0" fontId="3" fillId="0" borderId="0" xfId="0" applyFont="1"/>
    <xf numFmtId="0" fontId="5" fillId="4" borderId="9" xfId="0" applyFont="1" applyFill="1" applyBorder="1" applyAlignment="1">
      <alignment horizontal="center" vertical="center"/>
    </xf>
    <xf numFmtId="0" fontId="5" fillId="4" borderId="8" xfId="0" applyFont="1" applyFill="1" applyBorder="1" applyAlignment="1">
      <alignment horizontal="left" vertical="center"/>
    </xf>
    <xf numFmtId="9" fontId="2" fillId="0" borderId="0" xfId="1" applyFont="1" applyAlignment="1">
      <alignment horizontal="right"/>
    </xf>
    <xf numFmtId="165" fontId="2" fillId="0" borderId="0" xfId="0" applyNumberFormat="1" applyFont="1" applyAlignment="1">
      <alignment horizontal="left"/>
    </xf>
    <xf numFmtId="0" fontId="7" fillId="0" borderId="0" xfId="0" applyFont="1"/>
    <xf numFmtId="9" fontId="8" fillId="0" borderId="0" xfId="1" applyFont="1" applyAlignment="1">
      <alignment horizontal="right"/>
    </xf>
    <xf numFmtId="0" fontId="4" fillId="0" borderId="0" xfId="0" applyFont="1" applyAlignment="1">
      <alignment horizontal="center" vertical="center"/>
    </xf>
    <xf numFmtId="0" fontId="13" fillId="0" borderId="0" xfId="0" applyFont="1"/>
    <xf numFmtId="0" fontId="15" fillId="0" borderId="0" xfId="0" applyFont="1"/>
    <xf numFmtId="0" fontId="12" fillId="0" borderId="0" xfId="0" applyFont="1"/>
    <xf numFmtId="0" fontId="16" fillId="0" borderId="0" xfId="0" applyFont="1"/>
    <xf numFmtId="0" fontId="18" fillId="4" borderId="28" xfId="0" applyFont="1" applyFill="1" applyBorder="1" applyAlignment="1">
      <alignment horizontal="left" vertical="center"/>
    </xf>
    <xf numFmtId="0" fontId="18" fillId="4" borderId="9" xfId="0" applyFont="1" applyFill="1" applyBorder="1" applyAlignment="1">
      <alignment horizontal="center" vertical="center"/>
    </xf>
    <xf numFmtId="0" fontId="19" fillId="0" borderId="29" xfId="0" applyFont="1" applyBorder="1" applyAlignment="1">
      <alignment horizontal="left" vertical="center"/>
    </xf>
    <xf numFmtId="4" fontId="19" fillId="0" borderId="12" xfId="0" applyNumberFormat="1" applyFont="1" applyBorder="1" applyAlignment="1">
      <alignment horizontal="center" vertical="center"/>
    </xf>
    <xf numFmtId="0" fontId="19" fillId="0" borderId="30" xfId="0" applyFont="1" applyBorder="1" applyAlignment="1">
      <alignment horizontal="left" vertical="center"/>
    </xf>
    <xf numFmtId="4" fontId="19" fillId="0" borderId="15" xfId="0" applyNumberFormat="1" applyFont="1" applyBorder="1" applyAlignment="1">
      <alignment horizontal="center" vertical="center"/>
    </xf>
    <xf numFmtId="4" fontId="16" fillId="0" borderId="0" xfId="0" applyNumberFormat="1" applyFont="1"/>
    <xf numFmtId="4" fontId="18" fillId="4" borderId="36" xfId="0" applyNumberFormat="1" applyFont="1" applyFill="1" applyBorder="1" applyAlignment="1">
      <alignment horizontal="center" vertical="center"/>
    </xf>
    <xf numFmtId="4" fontId="18" fillId="4" borderId="37" xfId="0" applyNumberFormat="1" applyFont="1" applyFill="1" applyBorder="1" applyAlignment="1">
      <alignment horizontal="center" vertical="center"/>
    </xf>
    <xf numFmtId="0" fontId="18" fillId="7" borderId="38" xfId="0" applyFont="1" applyFill="1" applyBorder="1" applyAlignment="1">
      <alignment horizontal="left" vertical="center"/>
    </xf>
    <xf numFmtId="0" fontId="20" fillId="0" borderId="0" xfId="0" applyFont="1"/>
    <xf numFmtId="0" fontId="18" fillId="0" borderId="0" xfId="0" applyFont="1" applyBorder="1" applyAlignment="1">
      <alignment horizontal="right"/>
    </xf>
    <xf numFmtId="4" fontId="18" fillId="0" borderId="0" xfId="0" applyNumberFormat="1" applyFont="1" applyBorder="1" applyAlignment="1">
      <alignment horizontal="center" vertical="center"/>
    </xf>
    <xf numFmtId="4" fontId="19" fillId="0" borderId="0" xfId="0" applyNumberFormat="1" applyFont="1" applyFill="1" applyBorder="1" applyAlignment="1">
      <alignment horizontal="center" vertical="center"/>
    </xf>
    <xf numFmtId="4" fontId="24" fillId="0" borderId="0" xfId="0" applyNumberFormat="1" applyFont="1"/>
    <xf numFmtId="0" fontId="25" fillId="0" borderId="0" xfId="0" applyFont="1"/>
    <xf numFmtId="9" fontId="25" fillId="0" borderId="0" xfId="1" applyFont="1"/>
    <xf numFmtId="0" fontId="17" fillId="0" borderId="46" xfId="0" applyFont="1" applyBorder="1" applyAlignment="1">
      <alignment wrapText="1"/>
    </xf>
    <xf numFmtId="0" fontId="16" fillId="5" borderId="47" xfId="0" applyFont="1" applyFill="1" applyBorder="1"/>
    <xf numFmtId="4" fontId="17" fillId="5" borderId="48" xfId="0" applyNumberFormat="1" applyFont="1" applyFill="1" applyBorder="1"/>
    <xf numFmtId="0" fontId="16" fillId="6" borderId="49" xfId="0" applyFont="1" applyFill="1" applyBorder="1"/>
    <xf numFmtId="4" fontId="17" fillId="0" borderId="50" xfId="0" applyNumberFormat="1" applyFont="1" applyFill="1" applyBorder="1"/>
    <xf numFmtId="0" fontId="16" fillId="0" borderId="46" xfId="0" applyFont="1" applyBorder="1"/>
    <xf numFmtId="0" fontId="16" fillId="0" borderId="55" xfId="0" applyFont="1" applyBorder="1"/>
    <xf numFmtId="0" fontId="17" fillId="0" borderId="55" xfId="0" applyFont="1" applyBorder="1"/>
    <xf numFmtId="0" fontId="17" fillId="0" borderId="56" xfId="0" applyFont="1" applyBorder="1"/>
    <xf numFmtId="0" fontId="0" fillId="0" borderId="0" xfId="0" applyBorder="1" applyAlignment="1">
      <alignment wrapText="1"/>
    </xf>
    <xf numFmtId="4" fontId="25" fillId="0" borderId="0" xfId="0" applyNumberFormat="1" applyFont="1"/>
    <xf numFmtId="9" fontId="14" fillId="0" borderId="0" xfId="1" applyFont="1" applyAlignment="1">
      <alignment horizontal="left"/>
    </xf>
    <xf numFmtId="0" fontId="21" fillId="0" borderId="0" xfId="0" applyFont="1" applyBorder="1" applyAlignment="1">
      <alignment vertical="center"/>
    </xf>
    <xf numFmtId="0" fontId="21" fillId="0" borderId="17" xfId="0" applyFont="1" applyBorder="1" applyAlignment="1">
      <alignment vertical="center"/>
    </xf>
    <xf numFmtId="9" fontId="16" fillId="0" borderId="0" xfId="1" applyFont="1"/>
    <xf numFmtId="4" fontId="0" fillId="0" borderId="0" xfId="0" applyNumberFormat="1"/>
    <xf numFmtId="0" fontId="18" fillId="4" borderId="61" xfId="0" applyFont="1" applyFill="1" applyBorder="1" applyAlignment="1">
      <alignment horizontal="right"/>
    </xf>
    <xf numFmtId="0" fontId="16" fillId="0" borderId="62" xfId="0" applyFont="1" applyBorder="1" applyAlignment="1">
      <alignment wrapText="1"/>
    </xf>
    <xf numFmtId="0" fontId="16" fillId="0" borderId="63" xfId="0" applyFont="1" applyBorder="1" applyAlignment="1">
      <alignment wrapText="1"/>
    </xf>
    <xf numFmtId="0" fontId="16" fillId="0" borderId="64" xfId="0" applyFont="1" applyBorder="1" applyAlignment="1">
      <alignment wrapText="1"/>
    </xf>
    <xf numFmtId="0" fontId="17" fillId="4" borderId="69" xfId="0" applyFont="1" applyFill="1" applyBorder="1" applyAlignment="1">
      <alignment vertical="center" wrapText="1"/>
    </xf>
    <xf numFmtId="0" fontId="17" fillId="4" borderId="69" xfId="0" applyFont="1" applyFill="1" applyBorder="1" applyAlignment="1">
      <alignment horizontal="center" vertical="center" wrapText="1"/>
    </xf>
    <xf numFmtId="0" fontId="17" fillId="10" borderId="69" xfId="0" applyFont="1" applyFill="1" applyBorder="1" applyAlignment="1">
      <alignment horizontal="center" vertical="center" wrapText="1"/>
    </xf>
    <xf numFmtId="0" fontId="16" fillId="0" borderId="0" xfId="0" applyFont="1" applyBorder="1"/>
    <xf numFmtId="0" fontId="22" fillId="6" borderId="17" xfId="0" applyFont="1" applyFill="1" applyBorder="1" applyAlignment="1">
      <alignment vertical="center" wrapText="1"/>
    </xf>
    <xf numFmtId="4" fontId="18" fillId="5" borderId="12" xfId="0" applyNumberFormat="1" applyFont="1" applyFill="1" applyBorder="1" applyAlignment="1">
      <alignment horizontal="center" vertical="center"/>
    </xf>
    <xf numFmtId="0" fontId="0" fillId="0" borderId="0" xfId="0" applyBorder="1" applyAlignment="1">
      <alignment wrapText="1"/>
    </xf>
    <xf numFmtId="0" fontId="26" fillId="4" borderId="69" xfId="0" applyFont="1" applyFill="1" applyBorder="1" applyAlignment="1">
      <alignment horizontal="center" vertical="center" wrapText="1"/>
    </xf>
    <xf numFmtId="0" fontId="12" fillId="4" borderId="69" xfId="0" applyFont="1" applyFill="1" applyBorder="1" applyAlignment="1">
      <alignment horizontal="center" vertical="center" wrapText="1"/>
    </xf>
    <xf numFmtId="4" fontId="16" fillId="6" borderId="44" xfId="0" applyNumberFormat="1" applyFont="1" applyFill="1" applyBorder="1" applyAlignment="1">
      <alignment horizontal="center" vertical="center" wrapText="1"/>
    </xf>
    <xf numFmtId="4" fontId="16" fillId="6" borderId="43" xfId="0" applyNumberFormat="1" applyFont="1" applyFill="1" applyBorder="1" applyAlignment="1">
      <alignment horizontal="center" vertical="center" wrapText="1"/>
    </xf>
    <xf numFmtId="4" fontId="16" fillId="6" borderId="45" xfId="0" applyNumberFormat="1" applyFont="1" applyFill="1" applyBorder="1" applyAlignment="1">
      <alignment horizontal="center" vertical="center" wrapText="1"/>
    </xf>
    <xf numFmtId="4" fontId="0" fillId="0" borderId="68" xfId="0" applyNumberFormat="1" applyFont="1" applyBorder="1" applyAlignment="1">
      <alignment horizontal="center" vertical="center" wrapText="1"/>
    </xf>
    <xf numFmtId="4" fontId="0" fillId="0" borderId="84" xfId="0" applyNumberFormat="1" applyFont="1" applyBorder="1" applyAlignment="1">
      <alignment horizontal="center" vertical="center" wrapText="1"/>
    </xf>
    <xf numFmtId="4" fontId="4" fillId="7" borderId="39" xfId="0" applyNumberFormat="1"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4" fontId="6" fillId="0" borderId="12" xfId="0" applyNumberFormat="1" applyFont="1" applyFill="1" applyBorder="1" applyAlignment="1">
      <alignment horizontal="center" vertical="center"/>
    </xf>
    <xf numFmtId="4" fontId="6" fillId="0" borderId="21" xfId="0" applyNumberFormat="1" applyFont="1" applyFill="1" applyBorder="1" applyAlignment="1">
      <alignment horizontal="center" vertical="center"/>
    </xf>
    <xf numFmtId="9" fontId="32" fillId="0" borderId="25" xfId="1" applyFont="1" applyFill="1" applyBorder="1" applyAlignment="1">
      <alignment horizontal="center" vertical="center"/>
    </xf>
    <xf numFmtId="9" fontId="32" fillId="0" borderId="12" xfId="1" applyFont="1" applyFill="1" applyBorder="1" applyAlignment="1">
      <alignment horizontal="center" vertical="center"/>
    </xf>
    <xf numFmtId="9" fontId="32" fillId="0" borderId="26" xfId="1" applyFont="1" applyFill="1" applyBorder="1" applyAlignment="1">
      <alignment horizontal="center" vertical="center"/>
    </xf>
    <xf numFmtId="4" fontId="33" fillId="0" borderId="40" xfId="0" applyNumberFormat="1" applyFont="1" applyBorder="1"/>
    <xf numFmtId="4" fontId="33" fillId="0" borderId="41" xfId="0" applyNumberFormat="1" applyFont="1" applyBorder="1"/>
    <xf numFmtId="4" fontId="33" fillId="0" borderId="42" xfId="0" applyNumberFormat="1" applyFont="1" applyBorder="1"/>
    <xf numFmtId="4" fontId="5" fillId="15" borderId="82" xfId="0" applyNumberFormat="1" applyFont="1" applyFill="1" applyBorder="1" applyAlignment="1">
      <alignment horizontal="center" vertical="center"/>
    </xf>
    <xf numFmtId="4" fontId="5" fillId="4" borderId="82" xfId="0" applyNumberFormat="1" applyFont="1" applyFill="1" applyBorder="1" applyAlignment="1">
      <alignment horizontal="center" vertical="center"/>
    </xf>
    <xf numFmtId="4" fontId="5" fillId="4" borderId="83" xfId="0" applyNumberFormat="1" applyFont="1" applyFill="1" applyBorder="1" applyAlignment="1">
      <alignment horizontal="center" vertical="center"/>
    </xf>
    <xf numFmtId="9" fontId="34" fillId="4" borderId="83" xfId="1" applyFont="1" applyFill="1" applyBorder="1" applyAlignment="1">
      <alignment horizontal="center" vertical="center"/>
    </xf>
    <xf numFmtId="4" fontId="34" fillId="4" borderId="82" xfId="0" applyNumberFormat="1" applyFont="1" applyFill="1" applyBorder="1" applyAlignment="1">
      <alignment horizontal="center" vertical="center"/>
    </xf>
    <xf numFmtId="4" fontId="6" fillId="0" borderId="15" xfId="0" applyNumberFormat="1" applyFont="1" applyBorder="1" applyAlignment="1">
      <alignment horizontal="center" vertical="center"/>
    </xf>
    <xf numFmtId="4" fontId="6" fillId="0" borderId="22" xfId="0" applyNumberFormat="1" applyFont="1" applyBorder="1" applyAlignment="1">
      <alignment horizontal="center" vertical="center"/>
    </xf>
    <xf numFmtId="9" fontId="32" fillId="0" borderId="77" xfId="1" applyFont="1" applyFill="1" applyBorder="1" applyAlignment="1">
      <alignment horizontal="center" vertical="center"/>
    </xf>
    <xf numFmtId="9" fontId="32" fillId="0" borderId="15" xfId="1" applyFont="1" applyFill="1" applyBorder="1" applyAlignment="1">
      <alignment horizontal="center" vertical="center"/>
    </xf>
    <xf numFmtId="4" fontId="33" fillId="0" borderId="79" xfId="0" applyNumberFormat="1" applyFont="1" applyBorder="1"/>
    <xf numFmtId="4" fontId="33" fillId="0" borderId="80" xfId="0" applyNumberFormat="1" applyFont="1" applyBorder="1"/>
    <xf numFmtId="4" fontId="6" fillId="0" borderId="15" xfId="0" applyNumberFormat="1" applyFont="1" applyFill="1" applyBorder="1" applyAlignment="1">
      <alignment horizontal="center" vertical="center"/>
    </xf>
    <xf numFmtId="9" fontId="10" fillId="0" borderId="12" xfId="1" applyFont="1" applyFill="1" applyBorder="1" applyAlignment="1">
      <alignment horizontal="center" vertical="center"/>
    </xf>
    <xf numFmtId="4" fontId="35" fillId="0" borderId="41" xfId="0" applyNumberFormat="1" applyFont="1" applyBorder="1"/>
    <xf numFmtId="9" fontId="10" fillId="0" borderId="25" xfId="1" applyFont="1" applyFill="1" applyBorder="1" applyAlignment="1">
      <alignment horizontal="center" vertical="center"/>
    </xf>
    <xf numFmtId="9" fontId="10" fillId="0" borderId="26" xfId="1" applyFont="1" applyFill="1" applyBorder="1" applyAlignment="1">
      <alignment horizontal="center" vertical="center"/>
    </xf>
    <xf numFmtId="4" fontId="35" fillId="0" borderId="40" xfId="0" applyNumberFormat="1" applyFont="1" applyBorder="1"/>
    <xf numFmtId="4" fontId="35" fillId="0" borderId="42" xfId="0" applyNumberFormat="1" applyFont="1" applyBorder="1"/>
    <xf numFmtId="4" fontId="5" fillId="15" borderId="19" xfId="0" applyNumberFormat="1" applyFont="1" applyFill="1" applyBorder="1" applyAlignment="1">
      <alignment horizontal="center" vertical="center"/>
    </xf>
    <xf numFmtId="4" fontId="5" fillId="5" borderId="19" xfId="0" applyNumberFormat="1" applyFont="1" applyFill="1" applyBorder="1" applyAlignment="1">
      <alignment horizontal="center" vertical="center"/>
    </xf>
    <xf numFmtId="4" fontId="5" fillId="5" borderId="20" xfId="0" applyNumberFormat="1" applyFont="1" applyFill="1" applyBorder="1" applyAlignment="1">
      <alignment horizontal="center" vertical="center"/>
    </xf>
    <xf numFmtId="4" fontId="11" fillId="5" borderId="19" xfId="0" applyNumberFormat="1" applyFont="1" applyFill="1" applyBorder="1" applyAlignment="1">
      <alignment horizontal="center" vertical="center"/>
    </xf>
    <xf numFmtId="4" fontId="11" fillId="5" borderId="27" xfId="0" applyNumberFormat="1" applyFont="1" applyFill="1" applyBorder="1" applyAlignment="1">
      <alignment horizontal="center" vertical="center"/>
    </xf>
    <xf numFmtId="4" fontId="5" fillId="16" borderId="35" xfId="0" applyNumberFormat="1" applyFont="1" applyFill="1" applyBorder="1" applyAlignment="1">
      <alignment horizontal="center" vertical="center"/>
    </xf>
    <xf numFmtId="4" fontId="5" fillId="8" borderId="35" xfId="0" applyNumberFormat="1" applyFont="1" applyFill="1" applyBorder="1" applyAlignment="1">
      <alignment horizontal="center" vertical="center"/>
    </xf>
    <xf numFmtId="9" fontId="34" fillId="8" borderId="35" xfId="1" applyFont="1" applyFill="1" applyBorder="1" applyAlignment="1">
      <alignment horizontal="center" vertical="center"/>
    </xf>
    <xf numFmtId="4" fontId="36" fillId="8" borderId="35" xfId="0" applyNumberFormat="1" applyFont="1" applyFill="1" applyBorder="1" applyAlignment="1">
      <alignment vertical="center"/>
    </xf>
    <xf numFmtId="4" fontId="11" fillId="0" borderId="0" xfId="0" applyNumberFormat="1" applyFont="1" applyFill="1" applyBorder="1" applyAlignment="1">
      <alignment horizontal="center" vertical="center"/>
    </xf>
    <xf numFmtId="4" fontId="37" fillId="13" borderId="0" xfId="0" applyNumberFormat="1" applyFont="1" applyFill="1" applyBorder="1" applyAlignment="1">
      <alignment horizontal="center" vertical="center"/>
    </xf>
    <xf numFmtId="9" fontId="34" fillId="0" borderId="0" xfId="1" applyFont="1" applyFill="1" applyBorder="1" applyAlignment="1">
      <alignment horizontal="center" vertical="center"/>
    </xf>
    <xf numFmtId="4" fontId="36" fillId="0" borderId="0" xfId="0" applyNumberFormat="1" applyFont="1" applyFill="1" applyBorder="1"/>
    <xf numFmtId="4" fontId="5" fillId="0" borderId="0" xfId="0" applyNumberFormat="1" applyFont="1" applyBorder="1" applyAlignment="1">
      <alignment horizontal="center" vertical="center"/>
    </xf>
    <xf numFmtId="4" fontId="6" fillId="0" borderId="0" xfId="0" applyNumberFormat="1" applyFont="1" applyFill="1" applyBorder="1" applyAlignment="1">
      <alignment horizontal="center" vertical="center"/>
    </xf>
    <xf numFmtId="4" fontId="38" fillId="0" borderId="0" xfId="0" applyNumberFormat="1" applyFont="1"/>
    <xf numFmtId="0" fontId="6" fillId="0" borderId="11" xfId="0" applyFont="1" applyFill="1" applyBorder="1" applyAlignment="1">
      <alignment horizontal="left" vertical="center"/>
    </xf>
    <xf numFmtId="4" fontId="6" fillId="6" borderId="12" xfId="0" applyNumberFormat="1" applyFont="1" applyFill="1" applyBorder="1" applyAlignment="1">
      <alignment horizontal="center" vertical="center"/>
    </xf>
    <xf numFmtId="0" fontId="5" fillId="4" borderId="76" xfId="0" applyFont="1" applyFill="1" applyBorder="1" applyAlignment="1">
      <alignment horizontal="right"/>
    </xf>
    <xf numFmtId="4" fontId="5" fillId="6" borderId="82" xfId="0" applyNumberFormat="1" applyFont="1" applyFill="1" applyBorder="1" applyAlignment="1">
      <alignment horizontal="center" vertical="center"/>
    </xf>
    <xf numFmtId="0" fontId="6" fillId="0" borderId="14" xfId="0" applyFont="1" applyBorder="1" applyAlignment="1">
      <alignment horizontal="left" vertical="center"/>
    </xf>
    <xf numFmtId="4" fontId="6" fillId="6" borderId="15" xfId="0" applyNumberFormat="1" applyFont="1" applyFill="1" applyBorder="1" applyAlignment="1">
      <alignment horizontal="center" vertical="center"/>
    </xf>
    <xf numFmtId="0" fontId="5" fillId="5" borderId="18" xfId="0" applyFont="1" applyFill="1" applyBorder="1" applyAlignment="1">
      <alignment horizontal="right"/>
    </xf>
    <xf numFmtId="4" fontId="5" fillId="6" borderId="19" xfId="0" applyNumberFormat="1" applyFont="1" applyFill="1" applyBorder="1" applyAlignment="1">
      <alignment horizontal="center" vertical="center"/>
    </xf>
    <xf numFmtId="4" fontId="5" fillId="6" borderId="35" xfId="0" applyNumberFormat="1" applyFont="1" applyFill="1" applyBorder="1" applyAlignment="1">
      <alignment horizontal="center" vertical="center"/>
    </xf>
    <xf numFmtId="0" fontId="37" fillId="13" borderId="0" xfId="0" applyFont="1" applyFill="1" applyBorder="1" applyAlignment="1">
      <alignment horizontal="center" vertical="center" wrapText="1"/>
    </xf>
    <xf numFmtId="4" fontId="37" fillId="0" borderId="0" xfId="0" applyNumberFormat="1" applyFont="1" applyFill="1" applyBorder="1" applyAlignment="1">
      <alignment horizontal="center" vertical="center"/>
    </xf>
    <xf numFmtId="4" fontId="17" fillId="11" borderId="69" xfId="0" applyNumberFormat="1" applyFont="1" applyFill="1" applyBorder="1" applyAlignment="1">
      <alignment horizontal="center" vertical="center" wrapText="1"/>
    </xf>
    <xf numFmtId="4" fontId="12" fillId="11" borderId="69" xfId="0" applyNumberFormat="1" applyFont="1" applyFill="1" applyBorder="1" applyAlignment="1">
      <alignment horizontal="center" vertical="center" wrapText="1"/>
    </xf>
    <xf numFmtId="0" fontId="12" fillId="17" borderId="0" xfId="0" applyFont="1" applyFill="1"/>
    <xf numFmtId="0" fontId="40" fillId="8" borderId="69" xfId="0" applyFont="1" applyFill="1" applyBorder="1" applyAlignment="1">
      <alignment horizontal="center" vertical="center" wrapText="1"/>
    </xf>
    <xf numFmtId="0" fontId="0" fillId="0" borderId="69" xfId="0" applyBorder="1"/>
    <xf numFmtId="0" fontId="0" fillId="0" borderId="85" xfId="0" applyBorder="1"/>
    <xf numFmtId="0" fontId="0" fillId="0" borderId="86" xfId="0" applyBorder="1"/>
    <xf numFmtId="0" fontId="0" fillId="0" borderId="87" xfId="0" applyBorder="1" applyAlignment="1">
      <alignment horizontal="center" vertical="center"/>
    </xf>
    <xf numFmtId="0" fontId="0" fillId="14" borderId="87" xfId="0" applyFill="1" applyBorder="1" applyAlignment="1">
      <alignment horizontal="center" vertical="center"/>
    </xf>
    <xf numFmtId="0" fontId="30" fillId="19" borderId="88" xfId="0" applyFont="1" applyFill="1" applyBorder="1" applyAlignment="1">
      <alignment horizontal="center" vertical="center"/>
    </xf>
    <xf numFmtId="0" fontId="0" fillId="0" borderId="89" xfId="0" applyBorder="1"/>
    <xf numFmtId="0" fontId="0" fillId="0" borderId="90" xfId="0" applyBorder="1" applyAlignment="1">
      <alignment horizontal="center" vertical="center"/>
    </xf>
    <xf numFmtId="0" fontId="0" fillId="14" borderId="90" xfId="0" applyFill="1" applyBorder="1" applyAlignment="1">
      <alignment horizontal="center" vertical="center"/>
    </xf>
    <xf numFmtId="0" fontId="30" fillId="19" borderId="91" xfId="0" applyFont="1" applyFill="1" applyBorder="1" applyAlignment="1">
      <alignment horizontal="center" vertical="center"/>
    </xf>
    <xf numFmtId="0" fontId="0" fillId="0" borderId="92" xfId="0" applyBorder="1"/>
    <xf numFmtId="0" fontId="0" fillId="0" borderId="93" xfId="0" applyBorder="1" applyAlignment="1">
      <alignment horizontal="center" vertical="center"/>
    </xf>
    <xf numFmtId="0" fontId="30" fillId="19" borderId="94" xfId="0" applyFont="1" applyFill="1" applyBorder="1" applyAlignment="1">
      <alignment horizontal="center" vertical="center"/>
    </xf>
    <xf numFmtId="0" fontId="29" fillId="19" borderId="69" xfId="0" applyFont="1" applyFill="1" applyBorder="1"/>
    <xf numFmtId="0" fontId="29" fillId="19" borderId="69" xfId="0" applyFont="1" applyFill="1" applyBorder="1" applyAlignment="1">
      <alignment horizontal="center" vertical="center"/>
    </xf>
    <xf numFmtId="0" fontId="16" fillId="0" borderId="0" xfId="0" applyFont="1" applyBorder="1" applyAlignment="1">
      <alignment horizontal="left"/>
    </xf>
    <xf numFmtId="0" fontId="0" fillId="0" borderId="0" xfId="0" applyFont="1"/>
    <xf numFmtId="0" fontId="41" fillId="0" borderId="0" xfId="0" applyNumberFormat="1" applyFont="1" applyBorder="1" applyAlignment="1">
      <alignment vertical="center" wrapText="1"/>
    </xf>
    <xf numFmtId="0" fontId="17" fillId="0" borderId="95" xfId="0" applyFont="1" applyBorder="1" applyAlignment="1">
      <alignment horizontal="center"/>
    </xf>
    <xf numFmtId="0" fontId="0" fillId="0" borderId="95" xfId="0" applyBorder="1"/>
    <xf numFmtId="0" fontId="0" fillId="0" borderId="57" xfId="0" applyBorder="1"/>
    <xf numFmtId="0" fontId="0" fillId="0" borderId="54" xfId="0" applyBorder="1"/>
    <xf numFmtId="0" fontId="0" fillId="0" borderId="0" xfId="0" applyBorder="1" applyAlignment="1">
      <alignment horizontal="center" vertical="center"/>
    </xf>
    <xf numFmtId="0" fontId="41" fillId="12" borderId="98" xfId="0" applyFont="1" applyFill="1" applyBorder="1" applyAlignment="1">
      <alignment horizontal="center" vertical="center" wrapText="1"/>
    </xf>
    <xf numFmtId="0" fontId="0" fillId="0" borderId="97" xfId="0" applyBorder="1" applyAlignment="1">
      <alignment horizontal="left"/>
    </xf>
    <xf numFmtId="0" fontId="0" fillId="0" borderId="0" xfId="0" applyNumberFormat="1" applyBorder="1" applyAlignment="1">
      <alignment horizontal="center" vertical="center"/>
    </xf>
    <xf numFmtId="0" fontId="0" fillId="12" borderId="98" xfId="0" applyNumberFormat="1" applyFill="1" applyBorder="1" applyAlignment="1">
      <alignment horizontal="center" vertical="center"/>
    </xf>
    <xf numFmtId="0" fontId="0" fillId="0" borderId="99" xfId="0" applyBorder="1" applyAlignment="1">
      <alignment horizontal="left"/>
    </xf>
    <xf numFmtId="0" fontId="0" fillId="0" borderId="100" xfId="0" applyNumberFormat="1" applyBorder="1" applyAlignment="1">
      <alignment horizontal="center" vertical="center"/>
    </xf>
    <xf numFmtId="0" fontId="0" fillId="12" borderId="101" xfId="0" applyNumberFormat="1" applyFill="1" applyBorder="1" applyAlignment="1">
      <alignment horizontal="center" vertical="center"/>
    </xf>
    <xf numFmtId="0" fontId="12" fillId="21" borderId="69" xfId="0" applyFont="1" applyFill="1" applyBorder="1"/>
    <xf numFmtId="0" fontId="12" fillId="0" borderId="69" xfId="0" applyFont="1" applyBorder="1"/>
    <xf numFmtId="4" fontId="0" fillId="0" borderId="69" xfId="0" applyNumberFormat="1" applyBorder="1"/>
    <xf numFmtId="0" fontId="39" fillId="0" borderId="0" xfId="0" applyFont="1" applyBorder="1" applyAlignment="1"/>
    <xf numFmtId="0" fontId="16" fillId="0" borderId="69" xfId="0" applyFont="1" applyBorder="1"/>
    <xf numFmtId="0" fontId="16" fillId="0" borderId="69" xfId="0" applyFont="1" applyBorder="1" applyAlignment="1">
      <alignment horizontal="center" vertical="center"/>
    </xf>
    <xf numFmtId="0" fontId="16" fillId="0" borderId="86" xfId="0" applyFont="1" applyBorder="1"/>
    <xf numFmtId="0" fontId="16" fillId="0" borderId="87" xfId="0" applyFont="1" applyBorder="1" applyAlignment="1">
      <alignment horizontal="center" vertical="center"/>
    </xf>
    <xf numFmtId="0" fontId="16" fillId="14" borderId="87" xfId="0" applyFont="1" applyFill="1" applyBorder="1" applyAlignment="1">
      <alignment horizontal="center" vertical="center"/>
    </xf>
    <xf numFmtId="0" fontId="44" fillId="19" borderId="88" xfId="0" applyFont="1" applyFill="1" applyBorder="1" applyAlignment="1">
      <alignment horizontal="center" vertical="center"/>
    </xf>
    <xf numFmtId="0" fontId="16" fillId="0" borderId="89" xfId="0" applyFont="1" applyBorder="1"/>
    <xf numFmtId="0" fontId="16" fillId="0" borderId="90" xfId="0" applyFont="1" applyBorder="1" applyAlignment="1">
      <alignment horizontal="center" vertical="center"/>
    </xf>
    <xf numFmtId="0" fontId="16" fillId="0" borderId="92" xfId="0" applyFont="1" applyBorder="1"/>
    <xf numFmtId="0" fontId="16" fillId="0" borderId="93" xfId="0" applyFont="1" applyBorder="1" applyAlignment="1">
      <alignment horizontal="center" vertical="center"/>
    </xf>
    <xf numFmtId="0" fontId="43" fillId="19" borderId="69" xfId="0" applyFont="1" applyFill="1" applyBorder="1"/>
    <xf numFmtId="0" fontId="43" fillId="19" borderId="69" xfId="0" applyFont="1" applyFill="1" applyBorder="1" applyAlignment="1">
      <alignment horizontal="center" vertical="center"/>
    </xf>
    <xf numFmtId="0" fontId="0" fillId="0" borderId="95" xfId="0" applyFont="1" applyFill="1" applyBorder="1"/>
    <xf numFmtId="0" fontId="0" fillId="0" borderId="95" xfId="0" applyFont="1" applyBorder="1"/>
    <xf numFmtId="0" fontId="0" fillId="0" borderId="0" xfId="0" applyFill="1" applyBorder="1"/>
    <xf numFmtId="0" fontId="12" fillId="0" borderId="0" xfId="0" applyFont="1" applyFill="1" applyBorder="1"/>
    <xf numFmtId="0" fontId="17" fillId="20" borderId="69" xfId="0" applyFont="1" applyFill="1" applyBorder="1"/>
    <xf numFmtId="0" fontId="12" fillId="20" borderId="69" xfId="0" applyFont="1" applyFill="1" applyBorder="1" applyAlignment="1">
      <alignment horizontal="center" vertical="center"/>
    </xf>
    <xf numFmtId="0" fontId="16" fillId="0" borderId="107" xfId="0" applyFont="1" applyBorder="1" applyAlignment="1">
      <alignment horizontal="left" vertical="center"/>
    </xf>
    <xf numFmtId="0" fontId="16" fillId="0" borderId="107" xfId="0" applyFont="1" applyFill="1" applyBorder="1" applyAlignment="1">
      <alignment horizontal="center" vertical="center"/>
    </xf>
    <xf numFmtId="0" fontId="16" fillId="23" borderId="107" xfId="0" applyNumberFormat="1" applyFont="1" applyFill="1" applyBorder="1" applyAlignment="1">
      <alignment horizontal="center" vertical="center"/>
    </xf>
    <xf numFmtId="0" fontId="16" fillId="0" borderId="107" xfId="0" applyFont="1" applyBorder="1" applyAlignment="1">
      <alignment horizontal="center" vertical="center"/>
    </xf>
    <xf numFmtId="0" fontId="17" fillId="13" borderId="107" xfId="0" applyNumberFormat="1" applyFont="1" applyFill="1" applyBorder="1" applyAlignment="1">
      <alignment horizontal="center" vertical="center"/>
    </xf>
    <xf numFmtId="0" fontId="16" fillId="0" borderId="108" xfId="0" applyFont="1" applyBorder="1" applyAlignment="1">
      <alignment horizontal="left" vertical="center"/>
    </xf>
    <xf numFmtId="0" fontId="16" fillId="0" borderId="108" xfId="0" applyFont="1" applyFill="1" applyBorder="1" applyAlignment="1">
      <alignment horizontal="center" vertical="center"/>
    </xf>
    <xf numFmtId="0" fontId="16" fillId="0" borderId="108" xfId="0" applyFont="1" applyBorder="1" applyAlignment="1">
      <alignment horizontal="center" vertical="center"/>
    </xf>
    <xf numFmtId="0" fontId="12" fillId="20" borderId="109" xfId="0" applyFont="1" applyFill="1" applyBorder="1" applyAlignment="1">
      <alignment horizontal="left"/>
    </xf>
    <xf numFmtId="0" fontId="17" fillId="20" borderId="110" xfId="0" applyNumberFormat="1" applyFont="1" applyFill="1" applyBorder="1" applyAlignment="1">
      <alignment horizontal="center" vertical="center"/>
    </xf>
    <xf numFmtId="9" fontId="0" fillId="0" borderId="0" xfId="1" applyFont="1"/>
    <xf numFmtId="0" fontId="12" fillId="0" borderId="0" xfId="0" applyNumberFormat="1" applyFont="1" applyBorder="1" applyAlignment="1">
      <alignment horizontal="center" vertical="center"/>
    </xf>
    <xf numFmtId="0" fontId="12" fillId="0" borderId="97" xfId="0" applyFont="1" applyBorder="1" applyAlignment="1">
      <alignment horizontal="left"/>
    </xf>
    <xf numFmtId="0" fontId="29" fillId="19" borderId="105" xfId="0" applyFont="1" applyFill="1" applyBorder="1" applyAlignment="1">
      <alignment horizontal="center" vertical="center" wrapText="1"/>
    </xf>
    <xf numFmtId="0" fontId="29" fillId="19" borderId="106" xfId="0" applyFont="1" applyFill="1" applyBorder="1" applyAlignment="1">
      <alignment horizontal="center" vertical="center" wrapText="1"/>
    </xf>
    <xf numFmtId="0" fontId="16" fillId="18" borderId="102" xfId="0" applyFont="1" applyFill="1" applyBorder="1" applyAlignment="1">
      <alignment vertical="center"/>
    </xf>
    <xf numFmtId="0" fontId="18" fillId="8" borderId="34" xfId="0" applyFont="1" applyFill="1" applyBorder="1" applyAlignment="1">
      <alignment horizontal="center" vertical="center" wrapText="1"/>
    </xf>
    <xf numFmtId="9" fontId="6" fillId="0" borderId="25" xfId="1" applyFont="1" applyFill="1" applyBorder="1" applyAlignment="1">
      <alignment horizontal="center" vertical="center"/>
    </xf>
    <xf numFmtId="4" fontId="3" fillId="0" borderId="40" xfId="0" applyNumberFormat="1" applyFont="1" applyBorder="1"/>
    <xf numFmtId="4" fontId="16" fillId="5" borderId="44" xfId="0" applyNumberFormat="1" applyFont="1" applyFill="1" applyBorder="1" applyAlignment="1">
      <alignment horizontal="center" vertical="center" wrapText="1"/>
    </xf>
    <xf numFmtId="4" fontId="16" fillId="5" borderId="43" xfId="0" applyNumberFormat="1" applyFont="1" applyFill="1" applyBorder="1" applyAlignment="1">
      <alignment horizontal="center" vertical="center" wrapText="1"/>
    </xf>
    <xf numFmtId="4" fontId="16" fillId="5" borderId="45" xfId="0" applyNumberFormat="1" applyFont="1" applyFill="1" applyBorder="1" applyAlignment="1">
      <alignment horizontal="center" vertical="center" wrapText="1"/>
    </xf>
    <xf numFmtId="0" fontId="0" fillId="6" borderId="93" xfId="0" applyFill="1" applyBorder="1" applyAlignment="1">
      <alignment horizontal="center" vertical="center"/>
    </xf>
    <xf numFmtId="0" fontId="0" fillId="0" borderId="112" xfId="0" applyBorder="1"/>
    <xf numFmtId="0" fontId="0" fillId="0" borderId="113" xfId="0" applyBorder="1" applyAlignment="1">
      <alignment horizontal="center" vertical="center"/>
    </xf>
    <xf numFmtId="0" fontId="30" fillId="19" borderId="114" xfId="0" applyFont="1" applyFill="1" applyBorder="1" applyAlignment="1">
      <alignment horizontal="center" vertical="center"/>
    </xf>
    <xf numFmtId="0" fontId="0" fillId="6" borderId="90" xfId="0" applyFill="1" applyBorder="1" applyAlignment="1">
      <alignment horizontal="center" vertical="center"/>
    </xf>
    <xf numFmtId="0" fontId="0" fillId="6" borderId="113" xfId="0" applyFill="1" applyBorder="1" applyAlignment="1">
      <alignment horizontal="center" vertical="center"/>
    </xf>
    <xf numFmtId="0" fontId="4" fillId="0" borderId="0" xfId="0" applyFont="1" applyBorder="1" applyAlignment="1"/>
    <xf numFmtId="0" fontId="16" fillId="0" borderId="115" xfId="0" applyFont="1" applyFill="1" applyBorder="1" applyAlignment="1">
      <alignment horizontal="center" vertical="center"/>
    </xf>
    <xf numFmtId="0" fontId="16" fillId="0" borderId="115" xfId="0" applyFont="1" applyBorder="1" applyAlignment="1">
      <alignment horizontal="center" vertical="center"/>
    </xf>
    <xf numFmtId="0" fontId="0" fillId="0" borderId="46" xfId="0" pivotButton="1" applyBorder="1"/>
    <xf numFmtId="0" fontId="0" fillId="0" borderId="96" xfId="0" pivotButton="1" applyBorder="1"/>
    <xf numFmtId="0" fontId="0" fillId="0" borderId="57" xfId="0" pivotButton="1" applyBorder="1"/>
    <xf numFmtId="0" fontId="0" fillId="0" borderId="97" xfId="0" pivotButton="1" applyBorder="1"/>
    <xf numFmtId="0" fontId="17" fillId="10" borderId="111" xfId="0" applyFont="1" applyFill="1" applyBorder="1" applyAlignment="1">
      <alignment horizontal="center" vertical="center" wrapText="1"/>
    </xf>
    <xf numFmtId="0" fontId="0" fillId="0" borderId="116" xfId="0" applyBorder="1"/>
    <xf numFmtId="0" fontId="0" fillId="0" borderId="0" xfId="0" applyAlignment="1"/>
    <xf numFmtId="4" fontId="6" fillId="5" borderId="12" xfId="0" applyNumberFormat="1" applyFont="1" applyFill="1" applyBorder="1" applyAlignment="1">
      <alignment horizontal="center" vertical="center"/>
    </xf>
    <xf numFmtId="9" fontId="6" fillId="0" borderId="12" xfId="1" applyFont="1" applyFill="1" applyBorder="1" applyAlignment="1">
      <alignment horizontal="center" vertical="center"/>
    </xf>
    <xf numFmtId="4" fontId="3" fillId="0" borderId="41" xfId="0" applyNumberFormat="1" applyFont="1" applyBorder="1"/>
    <xf numFmtId="0" fontId="0" fillId="27" borderId="69" xfId="0" applyFill="1" applyBorder="1" applyAlignment="1">
      <alignment horizontal="center" vertical="center" wrapText="1"/>
    </xf>
    <xf numFmtId="0" fontId="46" fillId="0" borderId="0" xfId="0" applyFont="1"/>
    <xf numFmtId="0" fontId="47" fillId="9" borderId="69" xfId="0" applyFont="1" applyFill="1" applyBorder="1" applyAlignment="1">
      <alignment horizontal="center" vertical="center"/>
    </xf>
    <xf numFmtId="0" fontId="46" fillId="9" borderId="69" xfId="0" applyFont="1" applyFill="1" applyBorder="1" applyAlignment="1">
      <alignment horizontal="center" vertical="center"/>
    </xf>
    <xf numFmtId="0" fontId="48" fillId="9" borderId="69" xfId="0" applyFont="1" applyFill="1" applyBorder="1" applyAlignment="1">
      <alignment horizontal="center" vertical="center"/>
    </xf>
    <xf numFmtId="0" fontId="47" fillId="15" borderId="69" xfId="0" applyFont="1" applyFill="1" applyBorder="1" applyAlignment="1">
      <alignment horizontal="center" vertical="center"/>
    </xf>
    <xf numFmtId="0" fontId="46" fillId="14" borderId="69" xfId="0" applyFont="1" applyFill="1" applyBorder="1"/>
    <xf numFmtId="4" fontId="46" fillId="0" borderId="69" xfId="0" applyNumberFormat="1" applyFont="1" applyBorder="1" applyAlignment="1">
      <alignment horizontal="center" vertical="center"/>
    </xf>
    <xf numFmtId="4" fontId="47" fillId="15" borderId="69" xfId="0" applyNumberFormat="1" applyFont="1" applyFill="1" applyBorder="1" applyAlignment="1">
      <alignment horizontal="center" vertical="center"/>
    </xf>
    <xf numFmtId="0" fontId="47" fillId="15" borderId="69" xfId="0" applyFont="1" applyFill="1" applyBorder="1"/>
    <xf numFmtId="0" fontId="47" fillId="6" borderId="0" xfId="0" applyFont="1" applyFill="1" applyBorder="1"/>
    <xf numFmtId="4" fontId="47" fillId="6" borderId="0" xfId="0" applyNumberFormat="1" applyFont="1" applyFill="1" applyBorder="1" applyAlignment="1">
      <alignment horizontal="center" vertical="center"/>
    </xf>
    <xf numFmtId="0" fontId="47" fillId="14" borderId="69" xfId="0" applyFont="1" applyFill="1" applyBorder="1" applyAlignment="1">
      <alignment horizontal="center" vertical="center"/>
    </xf>
    <xf numFmtId="0" fontId="46" fillId="14" borderId="69" xfId="0" applyFont="1" applyFill="1" applyBorder="1" applyAlignment="1">
      <alignment horizontal="center" vertical="center"/>
    </xf>
    <xf numFmtId="0" fontId="48" fillId="14" borderId="69" xfId="0" applyFont="1" applyFill="1" applyBorder="1" applyAlignment="1">
      <alignment horizontal="center" vertical="center"/>
    </xf>
    <xf numFmtId="4" fontId="47" fillId="14" borderId="69" xfId="0" applyNumberFormat="1" applyFont="1" applyFill="1" applyBorder="1" applyAlignment="1">
      <alignment horizontal="center" vertical="center"/>
    </xf>
    <xf numFmtId="0" fontId="49" fillId="6" borderId="0" xfId="0" applyFont="1" applyFill="1"/>
    <xf numFmtId="0" fontId="47" fillId="14" borderId="69" xfId="0" applyFont="1" applyFill="1" applyBorder="1"/>
    <xf numFmtId="0" fontId="47" fillId="22" borderId="69" xfId="0" applyFont="1" applyFill="1" applyBorder="1" applyAlignment="1">
      <alignment horizontal="center" vertical="center"/>
    </xf>
    <xf numFmtId="4" fontId="47" fillId="22" borderId="69" xfId="0" applyNumberFormat="1" applyFont="1" applyFill="1" applyBorder="1" applyAlignment="1">
      <alignment horizontal="center" vertical="center"/>
    </xf>
    <xf numFmtId="0" fontId="47" fillId="22" borderId="69" xfId="0" applyFont="1" applyFill="1" applyBorder="1"/>
    <xf numFmtId="0" fontId="47" fillId="24" borderId="69" xfId="0" applyFont="1" applyFill="1" applyBorder="1" applyAlignment="1">
      <alignment horizontal="center" vertical="center"/>
    </xf>
    <xf numFmtId="4" fontId="47" fillId="24" borderId="69" xfId="0" applyNumberFormat="1" applyFont="1" applyFill="1" applyBorder="1" applyAlignment="1">
      <alignment horizontal="center" vertical="center"/>
    </xf>
    <xf numFmtId="0" fontId="47" fillId="24" borderId="69" xfId="0" applyFont="1" applyFill="1" applyBorder="1"/>
    <xf numFmtId="4" fontId="17" fillId="28" borderId="69" xfId="0" applyNumberFormat="1" applyFont="1" applyFill="1" applyBorder="1" applyAlignment="1">
      <alignment horizontal="center" vertical="center" wrapText="1"/>
    </xf>
    <xf numFmtId="0" fontId="52" fillId="0" borderId="69" xfId="0" applyFont="1" applyBorder="1"/>
    <xf numFmtId="14" fontId="52" fillId="0" borderId="69" xfId="0" applyNumberFormat="1" applyFont="1" applyBorder="1"/>
    <xf numFmtId="0" fontId="16" fillId="0" borderId="4" xfId="0" applyFont="1" applyFill="1" applyBorder="1"/>
    <xf numFmtId="0" fontId="0" fillId="0" borderId="119" xfId="0" applyBorder="1"/>
    <xf numFmtId="0" fontId="0" fillId="0" borderId="120" xfId="0" applyBorder="1" applyAlignment="1">
      <alignment horizontal="center" vertical="center"/>
    </xf>
    <xf numFmtId="0" fontId="30" fillId="19" borderId="121" xfId="0" applyFont="1" applyFill="1" applyBorder="1" applyAlignment="1">
      <alignment horizontal="center" vertical="center"/>
    </xf>
    <xf numFmtId="14" fontId="12" fillId="0" borderId="69" xfId="0" applyNumberFormat="1" applyFont="1" applyBorder="1"/>
    <xf numFmtId="0" fontId="27" fillId="0" borderId="0" xfId="0" applyFont="1"/>
    <xf numFmtId="0" fontId="26" fillId="18" borderId="122" xfId="0" applyFont="1" applyFill="1" applyBorder="1" applyAlignment="1">
      <alignment horizontal="center" vertical="center"/>
    </xf>
    <xf numFmtId="0" fontId="26" fillId="18" borderId="123" xfId="0" applyFont="1" applyFill="1" applyBorder="1" applyAlignment="1">
      <alignment horizontal="center" vertical="center"/>
    </xf>
    <xf numFmtId="0" fontId="26" fillId="18" borderId="124" xfId="0" applyFont="1" applyFill="1" applyBorder="1" applyAlignment="1">
      <alignment horizontal="center" vertical="center"/>
    </xf>
    <xf numFmtId="0" fontId="54" fillId="29" borderId="0" xfId="0" applyFont="1" applyFill="1" applyAlignment="1">
      <alignment horizontal="center"/>
    </xf>
    <xf numFmtId="0" fontId="27" fillId="18" borderId="125" xfId="0" applyFont="1" applyFill="1" applyBorder="1" applyAlignment="1">
      <alignment horizontal="center" vertical="center"/>
    </xf>
    <xf numFmtId="4" fontId="27" fillId="0" borderId="69" xfId="4" applyNumberFormat="1" applyFont="1" applyBorder="1"/>
    <xf numFmtId="4" fontId="27" fillId="0" borderId="69" xfId="0" applyNumberFormat="1" applyFont="1" applyBorder="1"/>
    <xf numFmtId="4" fontId="27" fillId="0" borderId="106" xfId="4" applyNumberFormat="1" applyFont="1" applyBorder="1"/>
    <xf numFmtId="4" fontId="27" fillId="0" borderId="95" xfId="4" applyNumberFormat="1" applyFont="1" applyBorder="1"/>
    <xf numFmtId="0" fontId="27" fillId="18" borderId="126" xfId="0" applyFont="1" applyFill="1" applyBorder="1" applyAlignment="1">
      <alignment horizontal="center" vertical="center"/>
    </xf>
    <xf numFmtId="4" fontId="27" fillId="0" borderId="103" xfId="4" applyNumberFormat="1" applyFont="1" applyBorder="1"/>
    <xf numFmtId="0" fontId="27" fillId="18" borderId="127" xfId="0" applyFont="1" applyFill="1" applyBorder="1" applyAlignment="1">
      <alignment horizontal="center" vertical="center"/>
    </xf>
    <xf numFmtId="4" fontId="27" fillId="0" borderId="105" xfId="4" applyNumberFormat="1" applyFont="1" applyBorder="1"/>
    <xf numFmtId="4" fontId="27" fillId="0" borderId="72" xfId="4" applyNumberFormat="1" applyFont="1" applyBorder="1"/>
    <xf numFmtId="0" fontId="54" fillId="29" borderId="122" xfId="0" applyFont="1" applyFill="1" applyBorder="1" applyAlignment="1">
      <alignment horizontal="center" vertical="center"/>
    </xf>
    <xf numFmtId="4" fontId="54" fillId="29" borderId="118" xfId="4" applyNumberFormat="1" applyFont="1" applyFill="1" applyBorder="1"/>
    <xf numFmtId="4" fontId="54" fillId="29" borderId="124" xfId="4" applyNumberFormat="1" applyFont="1" applyFill="1" applyBorder="1"/>
    <xf numFmtId="0" fontId="27" fillId="0" borderId="125" xfId="0" applyFont="1" applyBorder="1" applyAlignment="1">
      <alignment horizontal="center"/>
    </xf>
    <xf numFmtId="0" fontId="27" fillId="26" borderId="126" xfId="0" applyFont="1" applyFill="1" applyBorder="1" applyAlignment="1">
      <alignment horizontal="center" vertical="center"/>
    </xf>
    <xf numFmtId="0" fontId="27" fillId="26" borderId="128" xfId="0" applyFont="1" applyFill="1" applyBorder="1" applyAlignment="1">
      <alignment horizontal="center" vertical="center"/>
    </xf>
    <xf numFmtId="166" fontId="27" fillId="0" borderId="129" xfId="4" applyNumberFormat="1" applyFont="1" applyBorder="1"/>
    <xf numFmtId="0" fontId="55" fillId="0" borderId="0" xfId="0" applyFont="1"/>
    <xf numFmtId="0" fontId="56" fillId="0" borderId="0" xfId="0" applyFont="1"/>
    <xf numFmtId="14" fontId="56" fillId="0" borderId="0" xfId="1" applyNumberFormat="1" applyFont="1"/>
    <xf numFmtId="9" fontId="56" fillId="0" borderId="0" xfId="1" applyFont="1"/>
    <xf numFmtId="0" fontId="57" fillId="0" borderId="0" xfId="0" applyFont="1"/>
    <xf numFmtId="9" fontId="58" fillId="0" borderId="0" xfId="1" applyFont="1" applyAlignment="1">
      <alignment horizontal="right"/>
    </xf>
    <xf numFmtId="0" fontId="59" fillId="0" borderId="1" xfId="0" applyFont="1" applyBorder="1" applyAlignment="1">
      <alignment vertical="center"/>
    </xf>
    <xf numFmtId="0" fontId="59" fillId="0" borderId="5" xfId="0" applyFont="1" applyBorder="1" applyAlignment="1">
      <alignment vertical="center"/>
    </xf>
    <xf numFmtId="0" fontId="61" fillId="4" borderId="8" xfId="0" applyFont="1" applyFill="1" applyBorder="1" applyAlignment="1">
      <alignment horizontal="left" vertical="center"/>
    </xf>
    <xf numFmtId="0" fontId="61" fillId="4" borderId="9" xfId="0" applyFont="1" applyFill="1" applyBorder="1" applyAlignment="1">
      <alignment horizontal="center" vertical="center"/>
    </xf>
    <xf numFmtId="0" fontId="61" fillId="14" borderId="10" xfId="0" applyFont="1" applyFill="1" applyBorder="1" applyAlignment="1">
      <alignment horizontal="center" vertical="center"/>
    </xf>
    <xf numFmtId="0" fontId="62" fillId="0" borderId="11" xfId="0" applyFont="1" applyBorder="1" applyAlignment="1">
      <alignment horizontal="left" vertical="center"/>
    </xf>
    <xf numFmtId="4" fontId="62" fillId="0" borderId="12" xfId="0" applyNumberFormat="1" applyFont="1" applyBorder="1" applyAlignment="1">
      <alignment horizontal="center" vertical="center"/>
    </xf>
    <xf numFmtId="4" fontId="63" fillId="14" borderId="13" xfId="0" applyNumberFormat="1" applyFont="1" applyFill="1" applyBorder="1" applyAlignment="1">
      <alignment horizontal="center" vertical="center" wrapText="1"/>
    </xf>
    <xf numFmtId="0" fontId="62" fillId="4" borderId="11" xfId="0" applyFont="1" applyFill="1" applyBorder="1" applyAlignment="1">
      <alignment horizontal="left" vertical="center"/>
    </xf>
    <xf numFmtId="4" fontId="62" fillId="4" borderId="12" xfId="0" applyNumberFormat="1" applyFont="1" applyFill="1" applyBorder="1" applyAlignment="1">
      <alignment horizontal="center" vertical="center"/>
    </xf>
    <xf numFmtId="0" fontId="64" fillId="12" borderId="6" xfId="0" applyFont="1" applyFill="1" applyBorder="1" applyAlignment="1">
      <alignment horizontal="left" vertical="center"/>
    </xf>
    <xf numFmtId="4" fontId="64" fillId="12" borderId="7" xfId="0" applyNumberFormat="1" applyFont="1" applyFill="1" applyBorder="1" applyAlignment="1">
      <alignment horizontal="center" vertical="center"/>
    </xf>
    <xf numFmtId="4" fontId="64" fillId="13" borderId="7" xfId="0" applyNumberFormat="1" applyFont="1" applyFill="1" applyBorder="1" applyAlignment="1">
      <alignment horizontal="center" vertical="center"/>
    </xf>
    <xf numFmtId="10" fontId="62" fillId="0" borderId="12" xfId="0" applyNumberFormat="1" applyFont="1" applyBorder="1" applyAlignment="1">
      <alignment horizontal="center" vertical="center"/>
    </xf>
    <xf numFmtId="10" fontId="63" fillId="14" borderId="13" xfId="0" applyNumberFormat="1" applyFont="1" applyFill="1" applyBorder="1" applyAlignment="1">
      <alignment horizontal="center" vertical="center" wrapText="1"/>
    </xf>
    <xf numFmtId="9" fontId="56" fillId="0" borderId="0" xfId="1" applyFont="1" applyAlignment="1">
      <alignment horizontal="right"/>
    </xf>
    <xf numFmtId="165" fontId="56" fillId="0" borderId="0" xfId="0" applyNumberFormat="1" applyFont="1" applyAlignment="1">
      <alignment horizontal="left"/>
    </xf>
    <xf numFmtId="0" fontId="55" fillId="0" borderId="0" xfId="0" applyFont="1" applyBorder="1"/>
    <xf numFmtId="0" fontId="61" fillId="6" borderId="0" xfId="0" applyFont="1" applyFill="1" applyBorder="1" applyAlignment="1">
      <alignment horizontal="center" vertical="center"/>
    </xf>
    <xf numFmtId="9" fontId="55" fillId="0" borderId="0" xfId="1" applyFont="1" applyBorder="1"/>
    <xf numFmtId="9" fontId="11" fillId="8" borderId="35" xfId="1" applyFont="1" applyFill="1" applyBorder="1" applyAlignment="1">
      <alignment horizontal="center" vertical="center"/>
    </xf>
    <xf numFmtId="4" fontId="65" fillId="8" borderId="35" xfId="0" applyNumberFormat="1" applyFont="1" applyFill="1" applyBorder="1" applyAlignment="1">
      <alignment vertical="center"/>
    </xf>
    <xf numFmtId="0" fontId="48" fillId="13" borderId="69" xfId="0" applyFont="1" applyFill="1" applyBorder="1" applyAlignment="1">
      <alignment horizontal="center" vertical="center"/>
    </xf>
    <xf numFmtId="0" fontId="47" fillId="14" borderId="106" xfId="0" applyFont="1" applyFill="1" applyBorder="1" applyAlignment="1">
      <alignment horizontal="center" vertical="center"/>
    </xf>
    <xf numFmtId="0" fontId="46" fillId="14" borderId="106" xfId="0" applyFont="1" applyFill="1" applyBorder="1" applyAlignment="1">
      <alignment horizontal="center" vertical="center"/>
    </xf>
    <xf numFmtId="4" fontId="65" fillId="8" borderId="35" xfId="0" applyNumberFormat="1" applyFont="1" applyFill="1" applyBorder="1" applyAlignment="1">
      <alignment horizontal="center" vertical="center" wrapText="1"/>
    </xf>
    <xf numFmtId="4" fontId="50" fillId="25" borderId="0" xfId="0" applyNumberFormat="1" applyFont="1" applyFill="1" applyBorder="1" applyAlignment="1">
      <alignment vertical="center"/>
    </xf>
    <xf numFmtId="4" fontId="51" fillId="14" borderId="0" xfId="0" applyNumberFormat="1" applyFont="1" applyFill="1" applyBorder="1" applyAlignment="1">
      <alignment vertical="center"/>
    </xf>
    <xf numFmtId="0" fontId="0" fillId="0" borderId="0" xfId="0" applyAlignment="1">
      <alignment vertical="center"/>
    </xf>
    <xf numFmtId="0" fontId="16" fillId="6" borderId="87" xfId="0" applyFont="1" applyFill="1" applyBorder="1" applyAlignment="1">
      <alignment horizontal="center" vertical="center"/>
    </xf>
    <xf numFmtId="0" fontId="16" fillId="6" borderId="90" xfId="0" applyFont="1" applyFill="1" applyBorder="1" applyAlignment="1">
      <alignment horizontal="center" vertical="center"/>
    </xf>
    <xf numFmtId="0" fontId="16" fillId="6" borderId="93" xfId="0" applyFont="1" applyFill="1" applyBorder="1" applyAlignment="1">
      <alignment horizontal="center" vertical="center"/>
    </xf>
    <xf numFmtId="4" fontId="35" fillId="0" borderId="81" xfId="0" applyNumberFormat="1" applyFont="1" applyBorder="1"/>
    <xf numFmtId="9" fontId="10" fillId="0" borderId="78" xfId="1" applyFont="1" applyFill="1" applyBorder="1" applyAlignment="1">
      <alignment horizontal="center" vertical="center"/>
    </xf>
    <xf numFmtId="0" fontId="0" fillId="6" borderId="87" xfId="0" applyFill="1" applyBorder="1" applyAlignment="1">
      <alignment horizontal="center" vertical="center"/>
    </xf>
    <xf numFmtId="0" fontId="0" fillId="6" borderId="120" xfId="0" applyFill="1" applyBorder="1" applyAlignment="1">
      <alignment horizontal="center" vertical="center"/>
    </xf>
    <xf numFmtId="0" fontId="17" fillId="10" borderId="111"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0" xfId="0" applyFont="1" applyFill="1" applyAlignment="1">
      <alignment horizontal="center" vertical="center" wrapText="1"/>
    </xf>
    <xf numFmtId="0" fontId="60" fillId="2" borderId="3"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56" fillId="0" borderId="46" xfId="0" applyFont="1" applyBorder="1" applyAlignment="1">
      <alignment horizontal="center"/>
    </xf>
    <xf numFmtId="0" fontId="56" fillId="0" borderId="59" xfId="0" applyFont="1" applyBorder="1" applyAlignment="1">
      <alignment horizontal="center"/>
    </xf>
    <xf numFmtId="0" fontId="56" fillId="0" borderId="60" xfId="0" applyFont="1" applyBorder="1" applyAlignment="1">
      <alignment horizontal="center"/>
    </xf>
    <xf numFmtId="9" fontId="2" fillId="0" borderId="0" xfId="1" applyFont="1" applyAlignment="1">
      <alignment horizontal="left"/>
    </xf>
    <xf numFmtId="0" fontId="9" fillId="9" borderId="0"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6" xfId="0" applyFont="1" applyFill="1" applyBorder="1" applyAlignment="1">
      <alignment horizontal="center" vertical="center" wrapText="1"/>
    </xf>
    <xf numFmtId="9" fontId="14" fillId="0" borderId="0" xfId="1" applyFont="1" applyAlignment="1">
      <alignment horizontal="left"/>
    </xf>
    <xf numFmtId="0" fontId="9" fillId="9" borderId="71" xfId="0" applyFont="1" applyFill="1" applyBorder="1" applyAlignment="1">
      <alignment horizontal="center" vertical="center" wrapText="1"/>
    </xf>
    <xf numFmtId="0" fontId="9" fillId="9" borderId="72" xfId="0" applyFont="1" applyFill="1" applyBorder="1" applyAlignment="1">
      <alignment horizontal="center" vertical="center" wrapText="1"/>
    </xf>
    <xf numFmtId="0" fontId="9" fillId="9" borderId="70" xfId="0" applyFont="1" applyFill="1" applyBorder="1" applyAlignment="1">
      <alignment horizontal="center" vertical="center" wrapText="1"/>
    </xf>
    <xf numFmtId="0" fontId="9" fillId="9" borderId="73" xfId="0" applyFont="1" applyFill="1" applyBorder="1" applyAlignment="1">
      <alignment horizontal="center" vertical="center" wrapText="1"/>
    </xf>
    <xf numFmtId="0" fontId="9" fillId="9" borderId="74" xfId="0" applyFont="1" applyFill="1" applyBorder="1" applyAlignment="1">
      <alignment horizontal="center" vertical="center" wrapText="1"/>
    </xf>
    <xf numFmtId="0" fontId="9" fillId="9" borderId="75" xfId="0" applyFont="1" applyFill="1" applyBorder="1" applyAlignment="1">
      <alignment horizontal="center" vertical="center" wrapText="1"/>
    </xf>
    <xf numFmtId="0" fontId="50" fillId="25" borderId="97" xfId="0" applyFont="1" applyFill="1" applyBorder="1" applyAlignment="1">
      <alignment horizontal="left" vertical="center"/>
    </xf>
    <xf numFmtId="0" fontId="50" fillId="25" borderId="0" xfId="0" applyFont="1" applyFill="1" applyBorder="1" applyAlignment="1">
      <alignment horizontal="left" vertical="center"/>
    </xf>
    <xf numFmtId="0" fontId="51" fillId="14" borderId="97" xfId="0" applyFont="1" applyFill="1" applyBorder="1" applyAlignment="1">
      <alignment horizontal="left" vertical="center"/>
    </xf>
    <xf numFmtId="0" fontId="51" fillId="14" borderId="0" xfId="0" applyFont="1" applyFill="1" applyBorder="1" applyAlignment="1">
      <alignment horizontal="left" vertical="center"/>
    </xf>
    <xf numFmtId="0" fontId="47" fillId="12" borderId="46" xfId="0" applyFont="1" applyFill="1" applyBorder="1" applyAlignment="1">
      <alignment horizontal="center"/>
    </xf>
    <xf numFmtId="0" fontId="47" fillId="12" borderId="117" xfId="0" applyFont="1" applyFill="1" applyBorder="1" applyAlignment="1">
      <alignment horizontal="center"/>
    </xf>
    <xf numFmtId="0" fontId="47" fillId="12" borderId="116" xfId="0" applyFont="1" applyFill="1" applyBorder="1" applyAlignment="1">
      <alignment horizontal="center"/>
    </xf>
    <xf numFmtId="0" fontId="47" fillId="15" borderId="46" xfId="0" applyFont="1" applyFill="1" applyBorder="1" applyAlignment="1">
      <alignment horizontal="center"/>
    </xf>
    <xf numFmtId="0" fontId="47" fillId="15" borderId="117" xfId="0" applyFont="1" applyFill="1" applyBorder="1" applyAlignment="1">
      <alignment horizontal="center"/>
    </xf>
    <xf numFmtId="0" fontId="47" fillId="15" borderId="116" xfId="0" applyFont="1" applyFill="1" applyBorder="1" applyAlignment="1">
      <alignment horizontal="center"/>
    </xf>
    <xf numFmtId="0" fontId="47" fillId="22" borderId="46" xfId="0" applyFont="1" applyFill="1" applyBorder="1" applyAlignment="1">
      <alignment horizontal="center" vertical="center"/>
    </xf>
    <xf numFmtId="0" fontId="47" fillId="22" borderId="117" xfId="0" applyFont="1" applyFill="1" applyBorder="1" applyAlignment="1">
      <alignment horizontal="center" vertical="center"/>
    </xf>
    <xf numFmtId="0" fontId="47" fillId="22" borderId="116" xfId="0" applyFont="1" applyFill="1" applyBorder="1" applyAlignment="1">
      <alignment horizontal="center" vertical="center"/>
    </xf>
    <xf numFmtId="0" fontId="47" fillId="24" borderId="46" xfId="0" applyFont="1" applyFill="1" applyBorder="1" applyAlignment="1">
      <alignment horizontal="center"/>
    </xf>
    <xf numFmtId="0" fontId="47" fillId="24" borderId="117" xfId="0" applyFont="1" applyFill="1" applyBorder="1" applyAlignment="1">
      <alignment horizontal="center"/>
    </xf>
    <xf numFmtId="0" fontId="47" fillId="24" borderId="116" xfId="0" applyFont="1" applyFill="1" applyBorder="1" applyAlignment="1">
      <alignment horizontal="center"/>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5" fillId="0" borderId="46" xfId="0" applyFont="1" applyBorder="1" applyAlignment="1">
      <alignment horizont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59" xfId="0" applyFont="1" applyBorder="1" applyAlignment="1">
      <alignment horizontal="center"/>
    </xf>
    <xf numFmtId="0" fontId="15" fillId="0" borderId="60" xfId="0" applyFont="1" applyBorder="1" applyAlignment="1">
      <alignment horizontal="center"/>
    </xf>
    <xf numFmtId="4" fontId="23" fillId="0" borderId="54" xfId="0" applyNumberFormat="1" applyFont="1" applyBorder="1" applyAlignment="1">
      <alignment horizontal="center" vertical="center"/>
    </xf>
    <xf numFmtId="4" fontId="23" fillId="0" borderId="53" xfId="0" applyNumberFormat="1" applyFont="1" applyBorder="1" applyAlignment="1">
      <alignment horizontal="center" vertical="center"/>
    </xf>
    <xf numFmtId="4" fontId="45" fillId="0" borderId="54" xfId="0" applyNumberFormat="1" applyFont="1" applyBorder="1" applyAlignment="1">
      <alignment horizontal="center" vertical="center"/>
    </xf>
    <xf numFmtId="4" fontId="45" fillId="0" borderId="53" xfId="0" applyNumberFormat="1"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10" fontId="23" fillId="0" borderId="57" xfId="0" applyNumberFormat="1" applyFont="1" applyBorder="1" applyAlignment="1">
      <alignment horizontal="center" vertical="center"/>
    </xf>
    <xf numFmtId="10" fontId="23" fillId="0" borderId="58" xfId="0" applyNumberFormat="1" applyFont="1" applyBorder="1" applyAlignment="1">
      <alignment horizontal="center" vertical="center"/>
    </xf>
    <xf numFmtId="10" fontId="45" fillId="0" borderId="57" xfId="0" applyNumberFormat="1" applyFont="1" applyBorder="1" applyAlignment="1">
      <alignment horizontal="center" vertical="center"/>
    </xf>
    <xf numFmtId="10" fontId="45" fillId="0" borderId="58" xfId="0" applyNumberFormat="1" applyFont="1" applyBorder="1" applyAlignment="1">
      <alignment horizontal="center" vertical="center"/>
    </xf>
    <xf numFmtId="0" fontId="39" fillId="0" borderId="0" xfId="0" applyFont="1" applyBorder="1" applyAlignment="1">
      <alignment horizontal="center"/>
    </xf>
    <xf numFmtId="0" fontId="12" fillId="0" borderId="96" xfId="0" applyFont="1" applyBorder="1" applyAlignment="1">
      <alignment horizontal="center" vertical="center"/>
    </xf>
    <xf numFmtId="0" fontId="12" fillId="0" borderId="57"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27" fillId="14" borderId="105" xfId="0" applyFont="1" applyFill="1" applyBorder="1" applyAlignment="1">
      <alignment horizontal="center" vertical="center" wrapText="1"/>
    </xf>
    <xf numFmtId="0" fontId="27" fillId="14" borderId="106" xfId="0" applyFont="1" applyFill="1" applyBorder="1" applyAlignment="1">
      <alignment horizontal="center" vertical="center" wrapText="1"/>
    </xf>
    <xf numFmtId="0" fontId="0" fillId="18" borderId="102" xfId="0" applyFill="1" applyBorder="1" applyAlignment="1">
      <alignment horizontal="center"/>
    </xf>
    <xf numFmtId="0" fontId="0" fillId="18" borderId="104" xfId="0" applyFill="1" applyBorder="1" applyAlignment="1">
      <alignment horizontal="center"/>
    </xf>
    <xf numFmtId="0" fontId="0" fillId="7" borderId="102" xfId="0" applyFill="1" applyBorder="1" applyAlignment="1">
      <alignment horizontal="center"/>
    </xf>
    <xf numFmtId="0" fontId="0" fillId="7" borderId="104" xfId="0" applyFill="1" applyBorder="1" applyAlignment="1">
      <alignment horizontal="center"/>
    </xf>
    <xf numFmtId="0" fontId="42" fillId="22" borderId="102" xfId="0" applyFont="1" applyFill="1" applyBorder="1" applyAlignment="1">
      <alignment horizontal="center" vertical="center"/>
    </xf>
    <xf numFmtId="0" fontId="42" fillId="22" borderId="104" xfId="0" applyFont="1" applyFill="1" applyBorder="1" applyAlignment="1">
      <alignment horizontal="center" vertical="center"/>
    </xf>
    <xf numFmtId="0" fontId="39" fillId="0" borderId="69" xfId="0" applyFont="1" applyFill="1" applyBorder="1" applyAlignment="1">
      <alignment horizontal="center"/>
    </xf>
    <xf numFmtId="0" fontId="17" fillId="0" borderId="0" xfId="0" applyFont="1" applyAlignment="1">
      <alignment horizontal="center"/>
    </xf>
    <xf numFmtId="0" fontId="12" fillId="23" borderId="105" xfId="0" applyFont="1" applyFill="1" applyBorder="1" applyAlignment="1">
      <alignment horizontal="center" vertical="center" wrapText="1"/>
    </xf>
    <xf numFmtId="0" fontId="12" fillId="23" borderId="106" xfId="0" applyFont="1" applyFill="1" applyBorder="1" applyAlignment="1">
      <alignment horizontal="center" vertical="center" wrapText="1"/>
    </xf>
    <xf numFmtId="0" fontId="42" fillId="13" borderId="105" xfId="0" applyFont="1" applyFill="1" applyBorder="1" applyAlignment="1">
      <alignment horizontal="center" vertical="center" wrapText="1"/>
    </xf>
    <xf numFmtId="0" fontId="42" fillId="13" borderId="106" xfId="0" applyFont="1" applyFill="1" applyBorder="1" applyAlignment="1">
      <alignment horizontal="center" vertical="center" wrapText="1"/>
    </xf>
    <xf numFmtId="0" fontId="12" fillId="18" borderId="102" xfId="0" applyFont="1" applyFill="1" applyBorder="1" applyAlignment="1">
      <alignment horizontal="center" vertical="center"/>
    </xf>
    <xf numFmtId="0" fontId="12" fillId="18" borderId="104" xfId="0" applyFont="1" applyFill="1" applyBorder="1" applyAlignment="1">
      <alignment horizontal="center" vertical="center"/>
    </xf>
    <xf numFmtId="0" fontId="16" fillId="14" borderId="69" xfId="0" applyFont="1" applyFill="1" applyBorder="1" applyAlignment="1">
      <alignment horizontal="center" vertical="center" wrapText="1"/>
    </xf>
    <xf numFmtId="0" fontId="43" fillId="19" borderId="69" xfId="0" applyFont="1" applyFill="1" applyBorder="1" applyAlignment="1">
      <alignment horizontal="center" vertical="center" wrapText="1"/>
    </xf>
    <xf numFmtId="0" fontId="16" fillId="7" borderId="102" xfId="0" applyFont="1" applyFill="1" applyBorder="1" applyAlignment="1">
      <alignment horizontal="center" vertical="center"/>
    </xf>
    <xf numFmtId="0" fontId="16" fillId="7" borderId="104" xfId="0" applyFont="1" applyFill="1" applyBorder="1" applyAlignment="1">
      <alignment horizontal="center" vertical="center"/>
    </xf>
    <xf numFmtId="0" fontId="4" fillId="0" borderId="69" xfId="0" applyFont="1" applyBorder="1" applyAlignment="1">
      <alignment horizontal="center"/>
    </xf>
    <xf numFmtId="0" fontId="17" fillId="10" borderId="102" xfId="0" applyFont="1" applyFill="1" applyBorder="1" applyAlignment="1">
      <alignment horizontal="center" vertical="center" wrapText="1"/>
    </xf>
    <xf numFmtId="0" fontId="26" fillId="4" borderId="102" xfId="0" applyFont="1" applyFill="1" applyBorder="1" applyAlignment="1">
      <alignment horizontal="center" vertical="center" wrapText="1"/>
    </xf>
    <xf numFmtId="4" fontId="16" fillId="6" borderId="130" xfId="0" applyNumberFormat="1" applyFont="1" applyFill="1" applyBorder="1" applyAlignment="1">
      <alignment horizontal="center" vertical="center" wrapText="1"/>
    </xf>
    <xf numFmtId="4" fontId="16" fillId="6" borderId="131" xfId="0" applyNumberFormat="1" applyFont="1" applyFill="1" applyBorder="1" applyAlignment="1">
      <alignment horizontal="center" vertical="center" wrapText="1"/>
    </xf>
    <xf numFmtId="4" fontId="16" fillId="6" borderId="132" xfId="0" applyNumberFormat="1" applyFont="1" applyFill="1" applyBorder="1" applyAlignment="1">
      <alignment horizontal="center" vertical="center" wrapText="1"/>
    </xf>
    <xf numFmtId="4" fontId="17" fillId="28" borderId="102" xfId="0" applyNumberFormat="1" applyFont="1" applyFill="1" applyBorder="1" applyAlignment="1">
      <alignment horizontal="center" vertical="center" wrapText="1"/>
    </xf>
    <xf numFmtId="9" fontId="16" fillId="6" borderId="69" xfId="1" applyFont="1" applyFill="1" applyBorder="1" applyAlignment="1">
      <alignment horizontal="center" vertical="center" wrapText="1"/>
    </xf>
    <xf numFmtId="0" fontId="12" fillId="0" borderId="69" xfId="0" applyFont="1" applyBorder="1" applyAlignment="1">
      <alignment horizontal="center" vertical="center"/>
    </xf>
    <xf numFmtId="0" fontId="12" fillId="0" borderId="69" xfId="0" applyFont="1" applyBorder="1" applyAlignment="1">
      <alignment horizontal="center" vertical="center" wrapText="1"/>
    </xf>
    <xf numFmtId="0" fontId="17" fillId="10" borderId="73" xfId="0" applyFont="1" applyFill="1" applyBorder="1" applyAlignment="1">
      <alignment horizontal="center" vertical="center" wrapText="1"/>
    </xf>
    <xf numFmtId="0" fontId="17" fillId="10" borderId="75" xfId="0" applyFont="1" applyFill="1" applyBorder="1" applyAlignment="1">
      <alignment horizontal="center" vertical="center" wrapText="1"/>
    </xf>
    <xf numFmtId="0" fontId="17" fillId="10" borderId="106" xfId="0" applyFont="1" applyFill="1" applyBorder="1" applyAlignment="1">
      <alignment horizontal="center" vertical="center" wrapText="1"/>
    </xf>
    <xf numFmtId="0" fontId="12" fillId="0" borderId="73" xfId="0" applyFont="1" applyBorder="1" applyAlignment="1">
      <alignment horizontal="center" wrapText="1"/>
    </xf>
    <xf numFmtId="0" fontId="12" fillId="0" borderId="75" xfId="0" applyFont="1" applyBorder="1" applyAlignment="1">
      <alignment horizontal="center" wrapText="1"/>
    </xf>
    <xf numFmtId="0" fontId="15" fillId="0" borderId="102"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9" fontId="16" fillId="30" borderId="69" xfId="1" applyFont="1" applyFill="1" applyBorder="1" applyAlignment="1">
      <alignment horizontal="center" vertical="center" wrapText="1"/>
    </xf>
    <xf numFmtId="9" fontId="17" fillId="6" borderId="69" xfId="1" applyFont="1" applyFill="1" applyBorder="1" applyAlignment="1">
      <alignment horizontal="center" vertical="center" wrapText="1"/>
    </xf>
    <xf numFmtId="4" fontId="17" fillId="6" borderId="69" xfId="0" applyNumberFormat="1" applyFont="1" applyFill="1" applyBorder="1" applyAlignment="1">
      <alignment horizontal="center" vertical="center" wrapText="1"/>
    </xf>
    <xf numFmtId="0" fontId="12" fillId="30" borderId="69" xfId="0" applyFont="1" applyFill="1" applyBorder="1" applyAlignment="1">
      <alignment horizontal="center" vertical="center"/>
    </xf>
    <xf numFmtId="0" fontId="12" fillId="30" borderId="69" xfId="0" applyFont="1" applyFill="1" applyBorder="1" applyAlignment="1">
      <alignment horizontal="center"/>
    </xf>
  </cellXfs>
  <cellStyles count="6">
    <cellStyle name="Millares" xfId="4" builtinId="3"/>
    <cellStyle name="Millares 2" xfId="2"/>
    <cellStyle name="Millares 3" xfId="3"/>
    <cellStyle name="Normal" xfId="0" builtinId="0"/>
    <cellStyle name="Normal 2" xfId="5"/>
    <cellStyle name="Porcentaje" xfId="1" builtinId="5"/>
  </cellStyles>
  <dxfs count="15">
    <dxf>
      <font>
        <b/>
      </font>
    </dxf>
    <dxf>
      <font>
        <b/>
      </font>
    </dxf>
    <dxf>
      <fill>
        <patternFill patternType="solid">
          <bgColor theme="0" tint="-0.249977111117893"/>
        </patternFill>
      </fill>
    </dxf>
    <dxf>
      <fill>
        <patternFill patternType="solid">
          <bgColor theme="0" tint="-0.249977111117893"/>
        </patternFill>
      </fill>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vertical="center"/>
    </dxf>
    <dxf>
      <alignment vertical="center"/>
    </dxf>
    <dxf>
      <alignment vertical="center"/>
    </dxf>
    <dxf>
      <font>
        <sz val="8"/>
      </font>
    </dxf>
    <dxf>
      <alignment wrapText="1"/>
    </dxf>
    <dxf>
      <alignment horizontal="center"/>
    </dxf>
    <dxf>
      <alignment vertical="cent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'Expo Arg Citricos a sem 36'!$C$9</c:f>
              <c:strCache>
                <c:ptCount val="1"/>
                <c:pt idx="0">
                  <c:v>Limon</c:v>
                </c:pt>
              </c:strCache>
            </c:strRef>
          </c:tx>
          <c:spPr>
            <a:solidFill>
              <a:schemeClr val="accent1"/>
            </a:solidFill>
            <a:ln>
              <a:noFill/>
            </a:ln>
            <a:effectLst/>
          </c:spPr>
          <c:invertIfNegative val="0"/>
          <c:cat>
            <c:strRef>
              <c:f>'Expo Arg Citricos a sem 36'!$B$10:$B$19</c:f>
              <c:strCache>
                <c:ptCount val="10"/>
                <c:pt idx="0">
                  <c:v>Enero</c:v>
                </c:pt>
                <c:pt idx="1">
                  <c:v>Febrero</c:v>
                </c:pt>
                <c:pt idx="2">
                  <c:v>Marzo</c:v>
                </c:pt>
                <c:pt idx="3">
                  <c:v>Abril</c:v>
                </c:pt>
                <c:pt idx="4">
                  <c:v>Mayo</c:v>
                </c:pt>
                <c:pt idx="5">
                  <c:v>Junio </c:v>
                </c:pt>
                <c:pt idx="6">
                  <c:v>Julio </c:v>
                </c:pt>
                <c:pt idx="7">
                  <c:v>Agosto</c:v>
                </c:pt>
                <c:pt idx="8">
                  <c:v>Septiembre 10/09</c:v>
                </c:pt>
                <c:pt idx="9">
                  <c:v>Total Acum Sem 36</c:v>
                </c:pt>
              </c:strCache>
            </c:strRef>
          </c:cat>
          <c:val>
            <c:numRef>
              <c:f>'Expo Arg Citricos a sem 36'!$C$10:$C$19</c:f>
              <c:numCache>
                <c:formatCode>#,##0.00</c:formatCode>
                <c:ptCount val="10"/>
                <c:pt idx="0">
                  <c:v>34.019999999999996</c:v>
                </c:pt>
                <c:pt idx="1">
                  <c:v>20.004000000000001</c:v>
                </c:pt>
                <c:pt idx="2">
                  <c:v>1737.1500000000008</c:v>
                </c:pt>
                <c:pt idx="3">
                  <c:v>13022.533200000013</c:v>
                </c:pt>
                <c:pt idx="4">
                  <c:v>29170.760399999985</c:v>
                </c:pt>
                <c:pt idx="5">
                  <c:v>70925.565231999804</c:v>
                </c:pt>
                <c:pt idx="6">
                  <c:v>75065.775087997696</c:v>
                </c:pt>
                <c:pt idx="7">
                  <c:v>65611.439921998841</c:v>
                </c:pt>
                <c:pt idx="8">
                  <c:v>6248.6930000000166</c:v>
                </c:pt>
                <c:pt idx="9">
                  <c:v>261835.94084199634</c:v>
                </c:pt>
              </c:numCache>
            </c:numRef>
          </c:val>
          <c:extLst xmlns:c16r2="http://schemas.microsoft.com/office/drawing/2015/06/chart">
            <c:ext xmlns:c16="http://schemas.microsoft.com/office/drawing/2014/chart" uri="{C3380CC4-5D6E-409C-BE32-E72D297353CC}">
              <c16:uniqueId val="{00000000-34DF-461A-B706-383E1505A0F9}"/>
            </c:ext>
          </c:extLst>
        </c:ser>
        <c:ser>
          <c:idx val="1"/>
          <c:order val="1"/>
          <c:tx>
            <c:strRef>
              <c:f>'Expo Arg Citricos a sem 36'!$D$9</c:f>
              <c:strCache>
                <c:ptCount val="1"/>
                <c:pt idx="0">
                  <c:v>Pomelo</c:v>
                </c:pt>
              </c:strCache>
            </c:strRef>
          </c:tx>
          <c:spPr>
            <a:solidFill>
              <a:schemeClr val="accent2"/>
            </a:solidFill>
            <a:ln>
              <a:noFill/>
            </a:ln>
            <a:effectLst/>
          </c:spPr>
          <c:invertIfNegative val="0"/>
          <c:cat>
            <c:strRef>
              <c:f>'Expo Arg Citricos a sem 36'!$B$10:$B$19</c:f>
              <c:strCache>
                <c:ptCount val="10"/>
                <c:pt idx="0">
                  <c:v>Enero</c:v>
                </c:pt>
                <c:pt idx="1">
                  <c:v>Febrero</c:v>
                </c:pt>
                <c:pt idx="2">
                  <c:v>Marzo</c:v>
                </c:pt>
                <c:pt idx="3">
                  <c:v>Abril</c:v>
                </c:pt>
                <c:pt idx="4">
                  <c:v>Mayo</c:v>
                </c:pt>
                <c:pt idx="5">
                  <c:v>Junio </c:v>
                </c:pt>
                <c:pt idx="6">
                  <c:v>Julio </c:v>
                </c:pt>
                <c:pt idx="7">
                  <c:v>Agosto</c:v>
                </c:pt>
                <c:pt idx="8">
                  <c:v>Septiembre 10/09</c:v>
                </c:pt>
                <c:pt idx="9">
                  <c:v>Total Acum Sem 36</c:v>
                </c:pt>
              </c:strCache>
            </c:strRef>
          </c:cat>
          <c:val>
            <c:numRef>
              <c:f>'Expo Arg Citricos a sem 36'!$D$10:$D$19</c:f>
              <c:numCache>
                <c:formatCode>#,##0.00</c:formatCode>
                <c:ptCount val="10"/>
                <c:pt idx="2">
                  <c:v>13.620000000000001</c:v>
                </c:pt>
                <c:pt idx="4">
                  <c:v>80.175000000000011</c:v>
                </c:pt>
                <c:pt idx="5">
                  <c:v>201.5</c:v>
                </c:pt>
                <c:pt idx="6">
                  <c:v>106.68</c:v>
                </c:pt>
                <c:pt idx="7">
                  <c:v>93.857500000000002</c:v>
                </c:pt>
                <c:pt idx="8">
                  <c:v>109.95</c:v>
                </c:pt>
                <c:pt idx="9">
                  <c:v>605.78250000000003</c:v>
                </c:pt>
              </c:numCache>
            </c:numRef>
          </c:val>
          <c:extLst xmlns:c16r2="http://schemas.microsoft.com/office/drawing/2015/06/chart">
            <c:ext xmlns:c16="http://schemas.microsoft.com/office/drawing/2014/chart" uri="{C3380CC4-5D6E-409C-BE32-E72D297353CC}">
              <c16:uniqueId val="{00000001-34DF-461A-B706-383E1505A0F9}"/>
            </c:ext>
          </c:extLst>
        </c:ser>
        <c:ser>
          <c:idx val="2"/>
          <c:order val="2"/>
          <c:tx>
            <c:strRef>
              <c:f>'Expo Arg Citricos a sem 36'!$E$9</c:f>
              <c:strCache>
                <c:ptCount val="1"/>
                <c:pt idx="0">
                  <c:v>Mandarina</c:v>
                </c:pt>
              </c:strCache>
            </c:strRef>
          </c:tx>
          <c:spPr>
            <a:solidFill>
              <a:schemeClr val="accent3"/>
            </a:solidFill>
            <a:ln>
              <a:noFill/>
            </a:ln>
            <a:effectLst/>
          </c:spPr>
          <c:invertIfNegative val="0"/>
          <c:cat>
            <c:strRef>
              <c:f>'Expo Arg Citricos a sem 36'!$B$10:$B$19</c:f>
              <c:strCache>
                <c:ptCount val="10"/>
                <c:pt idx="0">
                  <c:v>Enero</c:v>
                </c:pt>
                <c:pt idx="1">
                  <c:v>Febrero</c:v>
                </c:pt>
                <c:pt idx="2">
                  <c:v>Marzo</c:v>
                </c:pt>
                <c:pt idx="3">
                  <c:v>Abril</c:v>
                </c:pt>
                <c:pt idx="4">
                  <c:v>Mayo</c:v>
                </c:pt>
                <c:pt idx="5">
                  <c:v>Junio </c:v>
                </c:pt>
                <c:pt idx="6">
                  <c:v>Julio </c:v>
                </c:pt>
                <c:pt idx="7">
                  <c:v>Agosto</c:v>
                </c:pt>
                <c:pt idx="8">
                  <c:v>Septiembre 10/09</c:v>
                </c:pt>
                <c:pt idx="9">
                  <c:v>Total Acum Sem 36</c:v>
                </c:pt>
              </c:strCache>
            </c:strRef>
          </c:cat>
          <c:val>
            <c:numRef>
              <c:f>'Expo Arg Citricos a sem 36'!$E$10:$E$19</c:f>
              <c:numCache>
                <c:formatCode>#,##0.00</c:formatCode>
                <c:ptCount val="10"/>
                <c:pt idx="0">
                  <c:v>20.8</c:v>
                </c:pt>
                <c:pt idx="1">
                  <c:v>8</c:v>
                </c:pt>
                <c:pt idx="2">
                  <c:v>301.16000000000003</c:v>
                </c:pt>
                <c:pt idx="3">
                  <c:v>1613.2720000000013</c:v>
                </c:pt>
                <c:pt idx="4">
                  <c:v>7167.3015999999907</c:v>
                </c:pt>
                <c:pt idx="5">
                  <c:v>11253.196789999987</c:v>
                </c:pt>
                <c:pt idx="6">
                  <c:v>7951.3369999999568</c:v>
                </c:pt>
                <c:pt idx="7">
                  <c:v>10095.042999999969</c:v>
                </c:pt>
                <c:pt idx="8">
                  <c:v>3236.9099999999949</c:v>
                </c:pt>
                <c:pt idx="9">
                  <c:v>41647.020389999896</c:v>
                </c:pt>
              </c:numCache>
            </c:numRef>
          </c:val>
          <c:extLst xmlns:c16r2="http://schemas.microsoft.com/office/drawing/2015/06/chart">
            <c:ext xmlns:c16="http://schemas.microsoft.com/office/drawing/2014/chart" uri="{C3380CC4-5D6E-409C-BE32-E72D297353CC}">
              <c16:uniqueId val="{00000002-34DF-461A-B706-383E1505A0F9}"/>
            </c:ext>
          </c:extLst>
        </c:ser>
        <c:ser>
          <c:idx val="3"/>
          <c:order val="3"/>
          <c:tx>
            <c:strRef>
              <c:f>'Expo Arg Citricos a sem 36'!$F$9</c:f>
              <c:strCache>
                <c:ptCount val="1"/>
                <c:pt idx="0">
                  <c:v>Naranja</c:v>
                </c:pt>
              </c:strCache>
            </c:strRef>
          </c:tx>
          <c:spPr>
            <a:solidFill>
              <a:schemeClr val="accent4"/>
            </a:solidFill>
            <a:ln>
              <a:noFill/>
            </a:ln>
            <a:effectLst/>
          </c:spPr>
          <c:invertIfNegative val="0"/>
          <c:cat>
            <c:strRef>
              <c:f>'Expo Arg Citricos a sem 36'!$B$10:$B$19</c:f>
              <c:strCache>
                <c:ptCount val="10"/>
                <c:pt idx="0">
                  <c:v>Enero</c:v>
                </c:pt>
                <c:pt idx="1">
                  <c:v>Febrero</c:v>
                </c:pt>
                <c:pt idx="2">
                  <c:v>Marzo</c:v>
                </c:pt>
                <c:pt idx="3">
                  <c:v>Abril</c:v>
                </c:pt>
                <c:pt idx="4">
                  <c:v>Mayo</c:v>
                </c:pt>
                <c:pt idx="5">
                  <c:v>Junio </c:v>
                </c:pt>
                <c:pt idx="6">
                  <c:v>Julio </c:v>
                </c:pt>
                <c:pt idx="7">
                  <c:v>Agosto</c:v>
                </c:pt>
                <c:pt idx="8">
                  <c:v>Septiembre 10/09</c:v>
                </c:pt>
                <c:pt idx="9">
                  <c:v>Total Acum Sem 36</c:v>
                </c:pt>
              </c:strCache>
            </c:strRef>
          </c:cat>
          <c:val>
            <c:numRef>
              <c:f>'Expo Arg Citricos a sem 36'!$F$10:$F$19</c:f>
              <c:numCache>
                <c:formatCode>#,##0.00</c:formatCode>
                <c:ptCount val="10"/>
                <c:pt idx="0">
                  <c:v>3068.8009999999999</c:v>
                </c:pt>
                <c:pt idx="1">
                  <c:v>1865.5639999999999</c:v>
                </c:pt>
                <c:pt idx="2">
                  <c:v>3029.4879999999998</c:v>
                </c:pt>
                <c:pt idx="3">
                  <c:v>1406.0060000000001</c:v>
                </c:pt>
                <c:pt idx="4">
                  <c:v>2087.0555000000004</c:v>
                </c:pt>
                <c:pt idx="5">
                  <c:v>5192.2499999999982</c:v>
                </c:pt>
                <c:pt idx="6">
                  <c:v>11234.191000000008</c:v>
                </c:pt>
                <c:pt idx="7">
                  <c:v>23676.868000000057</c:v>
                </c:pt>
                <c:pt idx="8">
                  <c:v>9030.5879999999815</c:v>
                </c:pt>
                <c:pt idx="9">
                  <c:v>60590.811500000047</c:v>
                </c:pt>
              </c:numCache>
            </c:numRef>
          </c:val>
          <c:extLst xmlns:c16r2="http://schemas.microsoft.com/office/drawing/2015/06/chart">
            <c:ext xmlns:c16="http://schemas.microsoft.com/office/drawing/2014/chart" uri="{C3380CC4-5D6E-409C-BE32-E72D297353CC}">
              <c16:uniqueId val="{00000003-34DF-461A-B706-383E1505A0F9}"/>
            </c:ext>
          </c:extLst>
        </c:ser>
        <c:dLbls>
          <c:showLegendKey val="0"/>
          <c:showVal val="0"/>
          <c:showCatName val="0"/>
          <c:showSerName val="0"/>
          <c:showPercent val="0"/>
          <c:showBubbleSize val="0"/>
        </c:dLbls>
        <c:gapWidth val="150"/>
        <c:overlap val="100"/>
        <c:axId val="261355392"/>
        <c:axId val="261356928"/>
      </c:barChart>
      <c:catAx>
        <c:axId val="26135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1356928"/>
        <c:crosses val="autoZero"/>
        <c:auto val="1"/>
        <c:lblAlgn val="ctr"/>
        <c:lblOffset val="100"/>
        <c:noMultiLvlLbl val="0"/>
      </c:catAx>
      <c:valAx>
        <c:axId val="2613569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1355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150" baseline="0">
                <a:solidFill>
                  <a:schemeClr val="tx1">
                    <a:lumMod val="50000"/>
                    <a:lumOff val="50000"/>
                  </a:schemeClr>
                </a:solidFill>
                <a:latin typeface="+mn-lt"/>
                <a:ea typeface="+mn-ea"/>
                <a:cs typeface="+mn-cs"/>
              </a:defRPr>
            </a:pPr>
            <a:r>
              <a:rPr lang="es-ES" sz="900">
                <a:solidFill>
                  <a:schemeClr val="tx1"/>
                </a:solidFill>
              </a:rPr>
              <a:t>Exportacion Argentina de Citricos a sem 36</a:t>
            </a:r>
          </a:p>
        </c:rich>
      </c:tx>
      <c:layout/>
      <c:overlay val="0"/>
      <c:spPr>
        <a:noFill/>
        <a:ln>
          <a:noFill/>
        </a:ln>
        <a:effectLst/>
      </c:spPr>
    </c:title>
    <c:autoTitleDeleted val="0"/>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AA53-4420-A299-75864157178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AA53-4420-A299-75864157178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AA53-4420-A299-75864157178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AA53-4420-A299-758641571787}"/>
              </c:ext>
            </c:extLst>
          </c:dPt>
          <c:dLbls>
            <c:dLbl>
              <c:idx val="0"/>
              <c:layout>
                <c:manualLayout>
                  <c:x val="0.13544018058690735"/>
                  <c:y val="-2.7777777777777776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A53-4420-A299-758641571787}"/>
                </c:ext>
              </c:extLst>
            </c:dLbl>
            <c:dLbl>
              <c:idx val="1"/>
              <c:layout>
                <c:manualLayout>
                  <c:x val="-0.11738148984198647"/>
                  <c:y val="9.7222222222222224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A53-4420-A299-758641571787}"/>
                </c:ext>
              </c:extLst>
            </c:dLbl>
            <c:dLbl>
              <c:idx val="2"/>
              <c:layout>
                <c:manualLayout>
                  <c:x val="-0.13544018058690749"/>
                  <c:y val="-5.5555555555555552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A53-4420-A299-758641571787}"/>
                </c:ext>
              </c:extLst>
            </c:dLbl>
            <c:dLbl>
              <c:idx val="3"/>
              <c:layout>
                <c:manualLayout>
                  <c:x val="-9.9322799097065456E-2"/>
                  <c:y val="-8.333333333333332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A53-4420-A299-75864157178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Arg Citricos a sem 36'!$C$9,'Expo Arg Citricos a sem 36'!$D$9,'Expo Arg Citricos a sem 36'!$E$9,'Expo Arg Citricos a sem 36'!$F$9)</c:f>
              <c:strCache>
                <c:ptCount val="4"/>
                <c:pt idx="0">
                  <c:v>Limon</c:v>
                </c:pt>
                <c:pt idx="1">
                  <c:v>Pomelo</c:v>
                </c:pt>
                <c:pt idx="2">
                  <c:v>Mandarina</c:v>
                </c:pt>
                <c:pt idx="3">
                  <c:v>Naranja</c:v>
                </c:pt>
              </c:strCache>
            </c:strRef>
          </c:cat>
          <c:val>
            <c:numRef>
              <c:f>('Expo Arg Citricos a sem 36'!$C$19,'Expo Arg Citricos a sem 36'!$D$19,'Expo Arg Citricos a sem 36'!$E$19,'Expo Arg Citricos a sem 36'!$F$19)</c:f>
              <c:numCache>
                <c:formatCode>#,##0.00</c:formatCode>
                <c:ptCount val="4"/>
                <c:pt idx="0">
                  <c:v>261835.94084199634</c:v>
                </c:pt>
                <c:pt idx="1">
                  <c:v>605.78250000000003</c:v>
                </c:pt>
                <c:pt idx="2">
                  <c:v>41647.020389999896</c:v>
                </c:pt>
                <c:pt idx="3">
                  <c:v>60590.811500000047</c:v>
                </c:pt>
              </c:numCache>
            </c:numRef>
          </c:val>
          <c:extLst xmlns:c16r2="http://schemas.microsoft.com/office/drawing/2015/06/chart">
            <c:ext xmlns:c16="http://schemas.microsoft.com/office/drawing/2014/chart" uri="{C3380CC4-5D6E-409C-BE32-E72D297353CC}">
              <c16:uniqueId val="{00000008-AA53-4420-A299-758641571787}"/>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AR" sz="1200">
                <a:solidFill>
                  <a:sysClr val="windowText" lastClr="000000"/>
                </a:solidFill>
              </a:rPr>
              <a:t>Destino Exportacion limones sem 36</a:t>
            </a:r>
          </a:p>
        </c:rich>
      </c:tx>
      <c:layout/>
      <c:overlay val="0"/>
      <c:spPr>
        <a:noFill/>
        <a:ln>
          <a:noFill/>
        </a:ln>
        <a:effectLst/>
      </c:spPr>
    </c:title>
    <c:autoTitleDeleted val="0"/>
    <c:plotArea>
      <c:layout>
        <c:manualLayout>
          <c:layoutTarget val="inner"/>
          <c:xMode val="edge"/>
          <c:yMode val="edge"/>
          <c:x val="0.26958770778652669"/>
          <c:y val="0.21082895888014003"/>
          <c:w val="0.4719359142607174"/>
          <c:h val="0.78655985710119569"/>
        </c:manualLayout>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A-3C96-4615-8FD7-234DE48B65C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8-3C96-4615-8FD7-234DE48B65C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7-3C96-4615-8FD7-234DE48B65CA}"/>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2-3C96-4615-8FD7-234DE48B65CA}"/>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xmlns:c16r2="http://schemas.microsoft.com/office/drawing/2015/06/chart">
              <c:ext xmlns:c16="http://schemas.microsoft.com/office/drawing/2014/chart" uri="{C3380CC4-5D6E-409C-BE32-E72D297353CC}">
                <c16:uniqueId val="{00000006-3C96-4615-8FD7-234DE48B65CA}"/>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xmlns:c16r2="http://schemas.microsoft.com/office/drawing/2015/06/chart">
              <c:ext xmlns:c16="http://schemas.microsoft.com/office/drawing/2014/chart" uri="{C3380CC4-5D6E-409C-BE32-E72D297353CC}">
                <c16:uniqueId val="{00000005-3C96-4615-8FD7-234DE48B65CA}"/>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xmlns:c16r2="http://schemas.microsoft.com/office/drawing/2015/06/chart">
              <c:ext xmlns:c16="http://schemas.microsoft.com/office/drawing/2014/chart" uri="{C3380CC4-5D6E-409C-BE32-E72D297353CC}">
                <c16:uniqueId val="{00000004-3C96-4615-8FD7-234DE48B65CA}"/>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xmlns:c16r2="http://schemas.microsoft.com/office/drawing/2015/06/chart">
              <c:ext xmlns:c16="http://schemas.microsoft.com/office/drawing/2014/chart" uri="{C3380CC4-5D6E-409C-BE32-E72D297353CC}">
                <c16:uniqueId val="{00000003-3C96-4615-8FD7-234DE48B65CA}"/>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xmlns:c16r2="http://schemas.microsoft.com/office/drawing/2015/06/chart">
              <c:ext xmlns:c16="http://schemas.microsoft.com/office/drawing/2014/chart" uri="{C3380CC4-5D6E-409C-BE32-E72D297353CC}">
                <c16:uniqueId val="{00000009-3C96-4615-8FD7-234DE48B65CA}"/>
              </c:ext>
            </c:extLst>
          </c:dPt>
          <c:dLbls>
            <c:dLbl>
              <c:idx val="0"/>
              <c:layout>
                <c:manualLayout>
                  <c:x val="-0.24027777777777776"/>
                  <c:y val="-2.7777777777777828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15479155730533684"/>
                      <c:h val="0.21736111111111106"/>
                    </c:manualLayout>
                  </c15:layout>
                </c:ext>
                <c:ext xmlns:c16="http://schemas.microsoft.com/office/drawing/2014/chart" uri="{C3380CC4-5D6E-409C-BE32-E72D297353CC}">
                  <c16:uniqueId val="{0000000A-3C96-4615-8FD7-234DE48B65CA}"/>
                </c:ext>
              </c:extLst>
            </c:dLbl>
            <c:dLbl>
              <c:idx val="1"/>
              <c:layout>
                <c:manualLayout>
                  <c:x val="9.9999999999999895E-2"/>
                  <c:y val="-9.7222222222222224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C96-4615-8FD7-234DE48B65CA}"/>
                </c:ext>
              </c:extLst>
            </c:dLbl>
            <c:dLbl>
              <c:idx val="2"/>
              <c:layout>
                <c:manualLayout>
                  <c:x val="0.13333333333333322"/>
                  <c:y val="-9.2592592592592587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C96-4615-8FD7-234DE48B65CA}"/>
                </c:ext>
              </c:extLst>
            </c:dLbl>
            <c:dLbl>
              <c:idx val="3"/>
              <c:layout>
                <c:manualLayout>
                  <c:x val="0.15277777777777768"/>
                  <c:y val="-9.2592592592592587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C96-4615-8FD7-234DE48B65CA}"/>
                </c:ext>
              </c:extLst>
            </c:dLbl>
            <c:dLbl>
              <c:idx val="4"/>
              <c:layout>
                <c:manualLayout>
                  <c:x val="0.1388888888888889"/>
                  <c:y val="3.703703703703703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C96-4615-8FD7-234DE48B65CA}"/>
                </c:ext>
              </c:extLst>
            </c:dLbl>
            <c:dLbl>
              <c:idx val="5"/>
              <c:layout>
                <c:manualLayout>
                  <c:x val="-0.18611111111111117"/>
                  <c:y val="2.314814814814814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C96-4615-8FD7-234DE48B65CA}"/>
                </c:ext>
              </c:extLst>
            </c:dLbl>
            <c:dLbl>
              <c:idx val="6"/>
              <c:layout>
                <c:manualLayout>
                  <c:x val="-0.24444444444444444"/>
                  <c:y val="-8.796296296296296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C96-4615-8FD7-234DE48B65CA}"/>
                </c:ext>
              </c:extLst>
            </c:dLbl>
            <c:dLbl>
              <c:idx val="7"/>
              <c:layout>
                <c:manualLayout>
                  <c:x val="-0.12777777777777777"/>
                  <c:y val="-2.777777777777777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C96-4615-8FD7-234DE48B65CA}"/>
                </c:ext>
              </c:extLst>
            </c:dLbl>
            <c:dLbl>
              <c:idx val="8"/>
              <c:layout>
                <c:manualLayout>
                  <c:x val="-0.25833333333333336"/>
                  <c:y val="5.092592592592592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C96-4615-8FD7-234DE48B65C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Limon Mercados acum sem 36'!$B$8,'Expo Limon Mercados acum sem 36'!$B$9,'Expo Limon Mercados acum sem 36'!$B$10,'Expo Limon Mercados acum sem 36'!$B$11,'Expo Limon Mercados acum sem 36'!$B$13,'Expo Limon Mercados acum sem 36'!$B$14,'Expo Limon Mercados acum sem 36'!$B$15,'Expo Limon Mercados acum sem 36'!$B$16,'Expo Limon Mercados acum sem 36'!$B$17)</c:f>
              <c:strCache>
                <c:ptCount val="9"/>
                <c:pt idx="0">
                  <c:v>Grecia y Balcanes</c:v>
                </c:pt>
                <c:pt idx="1">
                  <c:v>Iberica</c:v>
                </c:pt>
                <c:pt idx="2">
                  <c:v>Italia</c:v>
                </c:pt>
                <c:pt idx="3">
                  <c:v>Norte Europa</c:v>
                </c:pt>
                <c:pt idx="4">
                  <c:v>Rusia</c:v>
                </c:pt>
                <c:pt idx="5">
                  <c:v>Odessa-Ucrania</c:v>
                </c:pt>
                <c:pt idx="6">
                  <c:v>Reino Unido</c:v>
                </c:pt>
                <c:pt idx="7">
                  <c:v>USA</c:v>
                </c:pt>
                <c:pt idx="8">
                  <c:v>Otros Destinos</c:v>
                </c:pt>
              </c:strCache>
            </c:strRef>
          </c:cat>
          <c:val>
            <c:numRef>
              <c:f>('Expo Limon Mercados acum sem 36'!$D$8,'Expo Limon Mercados acum sem 36'!$D$9,'Expo Limon Mercados acum sem 36'!$D$10,'Expo Limon Mercados acum sem 36'!$D$11,'Expo Limon Mercados acum sem 36'!$D$13,'Expo Limon Mercados acum sem 36'!$D$14,'Expo Limon Mercados acum sem 36'!$D$15,'Expo Limon Mercados acum sem 36'!$D$16,'Expo Limon Mercados acum sem 36'!$D$17)</c:f>
              <c:numCache>
                <c:formatCode>#,##0.00</c:formatCode>
                <c:ptCount val="9"/>
                <c:pt idx="0">
                  <c:v>18132.469000000005</c:v>
                </c:pt>
                <c:pt idx="1">
                  <c:v>9157.358000000002</c:v>
                </c:pt>
                <c:pt idx="2">
                  <c:v>18999.009999999973</c:v>
                </c:pt>
                <c:pt idx="3">
                  <c:v>64165.108793998217</c:v>
                </c:pt>
                <c:pt idx="4">
                  <c:v>39901.731099999073</c:v>
                </c:pt>
                <c:pt idx="5">
                  <c:v>7220.5459999999794</c:v>
                </c:pt>
                <c:pt idx="6">
                  <c:v>4718.2240000000038</c:v>
                </c:pt>
                <c:pt idx="7">
                  <c:v>72254.039247998269</c:v>
                </c:pt>
                <c:pt idx="8">
                  <c:v>27287.454700000169</c:v>
                </c:pt>
              </c:numCache>
            </c:numRef>
          </c:val>
          <c:extLst xmlns:c16r2="http://schemas.microsoft.com/office/drawing/2015/06/chart">
            <c:ext xmlns:c16="http://schemas.microsoft.com/office/drawing/2014/chart" uri="{C3380CC4-5D6E-409C-BE32-E72D297353CC}">
              <c16:uniqueId val="{00000000-3C96-4615-8FD7-234DE48B65CA}"/>
            </c:ext>
          </c:extLst>
        </c:ser>
        <c:dLbls>
          <c:showLegendKey val="0"/>
          <c:showVal val="0"/>
          <c:showCatName val="0"/>
          <c:showSerName val="0"/>
          <c:showPercent val="1"/>
          <c:showBubbleSize val="0"/>
          <c:showLeaderLines val="1"/>
        </c:dLbls>
        <c:firstSliceAng val="0"/>
        <c:holeSize val="7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mn-lt"/>
                <a:ea typeface="+mn-ea"/>
                <a:cs typeface="+mn-cs"/>
              </a:defRPr>
            </a:pPr>
            <a:r>
              <a:rPr lang="es-AR" sz="1200"/>
              <a:t>Exportacion Sudafrica 2019 - 2020 - 2021</a:t>
            </a:r>
          </a:p>
        </c:rich>
      </c:tx>
      <c:layout/>
      <c:overlay val="0"/>
      <c:spPr>
        <a:noFill/>
        <a:ln>
          <a:noFill/>
        </a:ln>
        <a:effectLst/>
      </c:spPr>
    </c:title>
    <c:autoTitleDeleted val="0"/>
    <c:plotArea>
      <c:layout/>
      <c:lineChart>
        <c:grouping val="stacked"/>
        <c:varyColors val="0"/>
        <c:ser>
          <c:idx val="1"/>
          <c:order val="0"/>
          <c:tx>
            <c:strRef>
              <c:f>'Cargas RSA y ARG'!$I$6:$I$7</c:f>
              <c:strCache>
                <c:ptCount val="1"/>
                <c:pt idx="0">
                  <c:v>Año 2021 Semana 35</c:v>
                </c:pt>
              </c:strCache>
            </c:strRef>
          </c:tx>
          <c:spPr>
            <a:ln w="22225" cap="rnd">
              <a:solidFill>
                <a:schemeClr val="accent5"/>
              </a:solidFill>
              <a:round/>
            </a:ln>
            <a:effectLst/>
          </c:spPr>
          <c:marker>
            <c:symbol val="square"/>
            <c:size val="6"/>
            <c:spPr>
              <a:solidFill>
                <a:schemeClr val="accent5"/>
              </a:solidFill>
              <a:ln w="9525">
                <a:solidFill>
                  <a:schemeClr val="accent5"/>
                </a:solidFill>
                <a:round/>
              </a:ln>
              <a:effectLst/>
            </c:spPr>
          </c:marker>
          <c:cat>
            <c:strRef>
              <c:f>'Cargas RSA y ARG'!$G$8:$G$13</c:f>
              <c:strCache>
                <c:ptCount val="6"/>
                <c:pt idx="0">
                  <c:v>Destinos</c:v>
                </c:pt>
                <c:pt idx="1">
                  <c:v>Reino unido</c:v>
                </c:pt>
                <c:pt idx="2">
                  <c:v>Rusia</c:v>
                </c:pt>
                <c:pt idx="3">
                  <c:v>Union Europea</c:v>
                </c:pt>
                <c:pt idx="4">
                  <c:v>Canadá</c:v>
                </c:pt>
                <c:pt idx="5">
                  <c:v>Otros Destinos</c:v>
                </c:pt>
              </c:strCache>
            </c:strRef>
          </c:cat>
          <c:val>
            <c:numRef>
              <c:f>'Cargas RSA y ARG'!$I$8:$I$13</c:f>
              <c:numCache>
                <c:formatCode>#,##0.00</c:formatCode>
                <c:ptCount val="6"/>
                <c:pt idx="0" formatCode="General">
                  <c:v>0</c:v>
                </c:pt>
                <c:pt idx="1">
                  <c:v>33128.97</c:v>
                </c:pt>
                <c:pt idx="2">
                  <c:v>35597.595000000001</c:v>
                </c:pt>
                <c:pt idx="3">
                  <c:v>162797.79</c:v>
                </c:pt>
                <c:pt idx="4">
                  <c:v>20009.084999999999</c:v>
                </c:pt>
                <c:pt idx="5">
                  <c:v>158679.76500000001</c:v>
                </c:pt>
              </c:numCache>
            </c:numRef>
          </c:val>
          <c:smooth val="0"/>
          <c:extLst xmlns:c16r2="http://schemas.microsoft.com/office/drawing/2015/06/chart">
            <c:ext xmlns:c16="http://schemas.microsoft.com/office/drawing/2014/chart" uri="{C3380CC4-5D6E-409C-BE32-E72D297353CC}">
              <c16:uniqueId val="{00000001-62EB-4489-9DFB-F5D718400AB6}"/>
            </c:ext>
          </c:extLst>
        </c:ser>
        <c:ser>
          <c:idx val="2"/>
          <c:order val="1"/>
          <c:tx>
            <c:strRef>
              <c:f>'Cargas RSA y ARG'!$J$6:$J$7</c:f>
              <c:strCache>
                <c:ptCount val="1"/>
                <c:pt idx="0">
                  <c:v>Año 2020 Semana 35</c:v>
                </c:pt>
              </c:strCache>
            </c:strRef>
          </c:tx>
          <c:spPr>
            <a:ln w="22225" cap="rnd">
              <a:solidFill>
                <a:schemeClr val="accent4"/>
              </a:solidFill>
              <a:round/>
            </a:ln>
            <a:effectLst/>
          </c:spPr>
          <c:marker>
            <c:symbol val="triangle"/>
            <c:size val="6"/>
            <c:spPr>
              <a:solidFill>
                <a:schemeClr val="accent4"/>
              </a:solidFill>
              <a:ln w="9525">
                <a:solidFill>
                  <a:schemeClr val="accent4"/>
                </a:solidFill>
                <a:round/>
              </a:ln>
              <a:effectLst/>
            </c:spPr>
          </c:marker>
          <c:cat>
            <c:strRef>
              <c:f>'Cargas RSA y ARG'!$G$8:$G$13</c:f>
              <c:strCache>
                <c:ptCount val="6"/>
                <c:pt idx="0">
                  <c:v>Destinos</c:v>
                </c:pt>
                <c:pt idx="1">
                  <c:v>Reino unido</c:v>
                </c:pt>
                <c:pt idx="2">
                  <c:v>Rusia</c:v>
                </c:pt>
                <c:pt idx="3">
                  <c:v>Union Europea</c:v>
                </c:pt>
                <c:pt idx="4">
                  <c:v>Canadá</c:v>
                </c:pt>
                <c:pt idx="5">
                  <c:v>Otros Destinos</c:v>
                </c:pt>
              </c:strCache>
            </c:strRef>
          </c:cat>
          <c:val>
            <c:numRef>
              <c:f>'Cargas RSA y ARG'!$J$8:$J$13</c:f>
              <c:numCache>
                <c:formatCode>#,##0.00</c:formatCode>
                <c:ptCount val="6"/>
                <c:pt idx="0" formatCode="General">
                  <c:v>0</c:v>
                </c:pt>
                <c:pt idx="1">
                  <c:v>30842.205000000002</c:v>
                </c:pt>
                <c:pt idx="2">
                  <c:v>33381</c:v>
                </c:pt>
                <c:pt idx="3">
                  <c:v>135421.41</c:v>
                </c:pt>
                <c:pt idx="4">
                  <c:v>17651.669999999998</c:v>
                </c:pt>
                <c:pt idx="5">
                  <c:v>158419.845</c:v>
                </c:pt>
              </c:numCache>
            </c:numRef>
          </c:val>
          <c:smooth val="0"/>
          <c:extLst xmlns:c16r2="http://schemas.microsoft.com/office/drawing/2015/06/chart">
            <c:ext xmlns:c16="http://schemas.microsoft.com/office/drawing/2014/chart" uri="{C3380CC4-5D6E-409C-BE32-E72D297353CC}">
              <c16:uniqueId val="{00000002-62EB-4489-9DFB-F5D718400AB6}"/>
            </c:ext>
          </c:extLst>
        </c:ser>
        <c:ser>
          <c:idx val="3"/>
          <c:order val="2"/>
          <c:tx>
            <c:strRef>
              <c:f>'Cargas RSA y ARG'!$K$6:$K$7</c:f>
              <c:strCache>
                <c:ptCount val="1"/>
                <c:pt idx="0">
                  <c:v>Año 2019 Semana 35</c:v>
                </c:pt>
              </c:strCache>
            </c:strRef>
          </c:tx>
          <c:spPr>
            <a:ln w="22225" cap="rnd">
              <a:solidFill>
                <a:schemeClr val="accent6">
                  <a:lumMod val="60000"/>
                </a:schemeClr>
              </a:solidFill>
              <a:round/>
            </a:ln>
            <a:effectLst/>
          </c:spPr>
          <c:marker>
            <c:symbol val="x"/>
            <c:size val="6"/>
            <c:spPr>
              <a:noFill/>
              <a:ln w="9525">
                <a:solidFill>
                  <a:schemeClr val="accent6">
                    <a:lumMod val="60000"/>
                  </a:schemeClr>
                </a:solidFill>
                <a:round/>
              </a:ln>
              <a:effectLst/>
            </c:spPr>
          </c:marker>
          <c:cat>
            <c:strRef>
              <c:f>'Cargas RSA y ARG'!$G$8:$G$13</c:f>
              <c:strCache>
                <c:ptCount val="6"/>
                <c:pt idx="0">
                  <c:v>Destinos</c:v>
                </c:pt>
                <c:pt idx="1">
                  <c:v>Reino unido</c:v>
                </c:pt>
                <c:pt idx="2">
                  <c:v>Rusia</c:v>
                </c:pt>
                <c:pt idx="3">
                  <c:v>Union Europea</c:v>
                </c:pt>
                <c:pt idx="4">
                  <c:v>Canadá</c:v>
                </c:pt>
                <c:pt idx="5">
                  <c:v>Otros Destinos</c:v>
                </c:pt>
              </c:strCache>
            </c:strRef>
          </c:cat>
          <c:val>
            <c:numRef>
              <c:f>'Cargas RSA y ARG'!$K$8:$K$13</c:f>
              <c:numCache>
                <c:formatCode>#,##0.00</c:formatCode>
                <c:ptCount val="6"/>
                <c:pt idx="0" formatCode="General">
                  <c:v>0</c:v>
                </c:pt>
                <c:pt idx="1">
                  <c:v>19634.535</c:v>
                </c:pt>
                <c:pt idx="2">
                  <c:v>26161.62</c:v>
                </c:pt>
                <c:pt idx="3">
                  <c:v>78731.324999999997</c:v>
                </c:pt>
                <c:pt idx="4">
                  <c:v>11604.975</c:v>
                </c:pt>
                <c:pt idx="5">
                  <c:v>137015.22</c:v>
                </c:pt>
              </c:numCache>
            </c:numRef>
          </c:val>
          <c:smooth val="0"/>
          <c:extLst xmlns:c16r2="http://schemas.microsoft.com/office/drawing/2015/06/chart">
            <c:ext xmlns:c16="http://schemas.microsoft.com/office/drawing/2014/chart" uri="{C3380CC4-5D6E-409C-BE32-E72D297353CC}">
              <c16:uniqueId val="{00000003-62EB-4489-9DFB-F5D718400AB6}"/>
            </c:ext>
          </c:extLst>
        </c:ser>
        <c:dLbls>
          <c:showLegendKey val="0"/>
          <c:showVal val="0"/>
          <c:showCatName val="0"/>
          <c:showSerName val="0"/>
          <c:showPercent val="0"/>
          <c:showBubbleSize val="0"/>
        </c:dLbls>
        <c:marker val="1"/>
        <c:smooth val="0"/>
        <c:axId val="260391296"/>
        <c:axId val="260393216"/>
      </c:lineChart>
      <c:catAx>
        <c:axId val="260391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ES"/>
          </a:p>
        </c:txPr>
        <c:crossAx val="260393216"/>
        <c:crosses val="autoZero"/>
        <c:auto val="1"/>
        <c:lblAlgn val="ctr"/>
        <c:lblOffset val="100"/>
        <c:noMultiLvlLbl val="0"/>
      </c:catAx>
      <c:valAx>
        <c:axId val="260393216"/>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03912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Exportaciones de ARGENTINA vs RSA</a:t>
            </a:r>
          </a:p>
        </c:rich>
      </c:tx>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6-B1E2-4C5F-AF28-93B6997419B8}"/>
              </c:ext>
            </c:extLst>
          </c:dPt>
          <c:dPt>
            <c:idx val="3"/>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5-B1E2-4C5F-AF28-93B6997419B8}"/>
              </c:ext>
            </c:extLst>
          </c:dPt>
          <c:dPt>
            <c:idx val="5"/>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4-B1E2-4C5F-AF28-93B6997419B8}"/>
              </c:ext>
            </c:extLst>
          </c:dPt>
          <c:dPt>
            <c:idx val="7"/>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3-B1E2-4C5F-AF28-93B6997419B8}"/>
              </c:ext>
            </c:extLst>
          </c:dPt>
          <c:dPt>
            <c:idx val="9"/>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2-B1E2-4C5F-AF28-93B6997419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'Comparativo expo RSA y ARG'!$B$10:$C$19</c:f>
              <c:multiLvlStrCache>
                <c:ptCount val="10"/>
                <c:lvl>
                  <c:pt idx="0">
                    <c:v>Argentina</c:v>
                  </c:pt>
                  <c:pt idx="1">
                    <c:v>RSA</c:v>
                  </c:pt>
                  <c:pt idx="2">
                    <c:v>Argentina</c:v>
                  </c:pt>
                  <c:pt idx="3">
                    <c:v>RSA</c:v>
                  </c:pt>
                  <c:pt idx="4">
                    <c:v>Argentina</c:v>
                  </c:pt>
                  <c:pt idx="5">
                    <c:v>RSA</c:v>
                  </c:pt>
                  <c:pt idx="6">
                    <c:v>Argentina</c:v>
                  </c:pt>
                  <c:pt idx="7">
                    <c:v>RSA</c:v>
                  </c:pt>
                  <c:pt idx="8">
                    <c:v>Argentina</c:v>
                  </c:pt>
                  <c:pt idx="9">
                    <c:v>RSA</c:v>
                  </c:pt>
                </c:lvl>
                <c:lvl>
                  <c:pt idx="0">
                    <c:v>Reino Unido</c:v>
                  </c:pt>
                  <c:pt idx="2">
                    <c:v>Union Europea</c:v>
                  </c:pt>
                  <c:pt idx="4">
                    <c:v>Rusia</c:v>
                  </c:pt>
                  <c:pt idx="6">
                    <c:v>Canadá</c:v>
                  </c:pt>
                  <c:pt idx="8">
                    <c:v>Otros</c:v>
                  </c:pt>
                </c:lvl>
              </c:multiLvlStrCache>
            </c:multiLvlStrRef>
          </c:cat>
          <c:val>
            <c:numRef>
              <c:f>'Comparativo expo RSA y ARG'!$D$10:$D$19</c:f>
              <c:numCache>
                <c:formatCode>#,##0.00</c:formatCode>
                <c:ptCount val="10"/>
                <c:pt idx="0">
                  <c:v>4718.2240000000038</c:v>
                </c:pt>
                <c:pt idx="1">
                  <c:v>33128.97</c:v>
                </c:pt>
                <c:pt idx="2">
                  <c:v>110453.94579399819</c:v>
                </c:pt>
                <c:pt idx="3">
                  <c:v>162797.79</c:v>
                </c:pt>
                <c:pt idx="4">
                  <c:v>39901.731099999073</c:v>
                </c:pt>
                <c:pt idx="5">
                  <c:v>35597.595000000001</c:v>
                </c:pt>
                <c:pt idx="6">
                  <c:v>80548.789247998269</c:v>
                </c:pt>
                <c:pt idx="7">
                  <c:v>20009.084999999999</c:v>
                </c:pt>
                <c:pt idx="8">
                  <c:v>18992.704700000169</c:v>
                </c:pt>
                <c:pt idx="9">
                  <c:v>158679.76500000001</c:v>
                </c:pt>
              </c:numCache>
            </c:numRef>
          </c:val>
          <c:extLst xmlns:c16r2="http://schemas.microsoft.com/office/drawing/2015/06/chart">
            <c:ext xmlns:c16="http://schemas.microsoft.com/office/drawing/2014/chart" uri="{C3380CC4-5D6E-409C-BE32-E72D297353CC}">
              <c16:uniqueId val="{00000000-B1E2-4C5F-AF28-93B6997419B8}"/>
            </c:ext>
          </c:extLst>
        </c:ser>
        <c:dLbls>
          <c:dLblPos val="outEnd"/>
          <c:showLegendKey val="0"/>
          <c:showVal val="1"/>
          <c:showCatName val="0"/>
          <c:showSerName val="0"/>
          <c:showPercent val="0"/>
          <c:showBubbleSize val="0"/>
        </c:dLbls>
        <c:gapWidth val="182"/>
        <c:axId val="260421120"/>
        <c:axId val="260434176"/>
      </c:barChart>
      <c:catAx>
        <c:axId val="260421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0434176"/>
        <c:crosses val="autoZero"/>
        <c:auto val="1"/>
        <c:lblAlgn val="ctr"/>
        <c:lblOffset val="100"/>
        <c:noMultiLvlLbl val="0"/>
      </c:catAx>
      <c:valAx>
        <c:axId val="260434176"/>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60421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'Comp semanas hasta 36'!$B$4</c:f>
              <c:strCache>
                <c:ptCount val="1"/>
                <c:pt idx="0">
                  <c:v>USA</c:v>
                </c:pt>
              </c:strCache>
            </c:strRef>
          </c:tx>
          <c:spPr>
            <a:ln w="28575" cap="rnd">
              <a:solidFill>
                <a:schemeClr val="accent1"/>
              </a:solidFill>
              <a:round/>
            </a:ln>
            <a:effectLst/>
          </c:spPr>
          <c:marker>
            <c:symbol val="none"/>
          </c:marker>
          <c:cat>
            <c:numRef>
              <c:f>'Comp semanas hasta 36'!$C$3:$Q$3</c:f>
              <c:numCache>
                <c:formatCode>General</c:formatCode>
                <c:ptCount val="15"/>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numCache>
            </c:numRef>
          </c:cat>
          <c:val>
            <c:numRef>
              <c:f>'Comp semanas hasta 36'!$C$4:$Q$4</c:f>
              <c:numCache>
                <c:formatCode>#,##0.00</c:formatCode>
                <c:ptCount val="15"/>
                <c:pt idx="0">
                  <c:v>18869.05</c:v>
                </c:pt>
                <c:pt idx="1">
                  <c:v>24816.640800000001</c:v>
                </c:pt>
                <c:pt idx="2">
                  <c:v>30622.913</c:v>
                </c:pt>
                <c:pt idx="3">
                  <c:v>35051.072200000002</c:v>
                </c:pt>
                <c:pt idx="4">
                  <c:v>41514.290800000002</c:v>
                </c:pt>
                <c:pt idx="5">
                  <c:v>45724.347800000003</c:v>
                </c:pt>
                <c:pt idx="6">
                  <c:v>50655.917800000003</c:v>
                </c:pt>
                <c:pt idx="7">
                  <c:v>55909.397800000006</c:v>
                </c:pt>
                <c:pt idx="8">
                  <c:v>60427.158800000005</c:v>
                </c:pt>
                <c:pt idx="9">
                  <c:v>63358.840400000001</c:v>
                </c:pt>
                <c:pt idx="10">
                  <c:v>66960.785400000008</c:v>
                </c:pt>
                <c:pt idx="11">
                  <c:v>69153.287400000001</c:v>
                </c:pt>
                <c:pt idx="12">
                  <c:v>70832.699399999998</c:v>
                </c:pt>
                <c:pt idx="13">
                  <c:v>71781.695399999997</c:v>
                </c:pt>
                <c:pt idx="14">
                  <c:v>72254.027399999992</c:v>
                </c:pt>
              </c:numCache>
            </c:numRef>
          </c:val>
          <c:smooth val="0"/>
          <c:extLst xmlns:c16r2="http://schemas.microsoft.com/office/drawing/2015/06/chart">
            <c:ext xmlns:c16="http://schemas.microsoft.com/office/drawing/2014/chart" uri="{C3380CC4-5D6E-409C-BE32-E72D297353CC}">
              <c16:uniqueId val="{00000000-BCA7-47CE-A099-ACD2B127424D}"/>
            </c:ext>
          </c:extLst>
        </c:ser>
        <c:ser>
          <c:idx val="1"/>
          <c:order val="1"/>
          <c:tx>
            <c:strRef>
              <c:f>'Comp semanas hasta 36'!$B$5</c:f>
              <c:strCache>
                <c:ptCount val="1"/>
                <c:pt idx="0">
                  <c:v>UE</c:v>
                </c:pt>
              </c:strCache>
            </c:strRef>
          </c:tx>
          <c:spPr>
            <a:ln w="28575" cap="rnd">
              <a:solidFill>
                <a:schemeClr val="accent2"/>
              </a:solidFill>
              <a:round/>
            </a:ln>
            <a:effectLst/>
          </c:spPr>
          <c:marker>
            <c:symbol val="none"/>
          </c:marker>
          <c:cat>
            <c:numRef>
              <c:f>'Comp semanas hasta 36'!$C$3:$Q$3</c:f>
              <c:numCache>
                <c:formatCode>General</c:formatCode>
                <c:ptCount val="15"/>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numCache>
            </c:numRef>
          </c:cat>
          <c:val>
            <c:numRef>
              <c:f>'Comp semanas hasta 36'!$C$5:$Q$5</c:f>
              <c:numCache>
                <c:formatCode>#,##0.00</c:formatCode>
                <c:ptCount val="15"/>
                <c:pt idx="0">
                  <c:v>5973.98</c:v>
                </c:pt>
                <c:pt idx="1">
                  <c:v>10242.082999999999</c:v>
                </c:pt>
                <c:pt idx="2">
                  <c:v>16028.074999999999</c:v>
                </c:pt>
                <c:pt idx="3">
                  <c:v>24420.561000000009</c:v>
                </c:pt>
                <c:pt idx="4">
                  <c:v>36437.791000000012</c:v>
                </c:pt>
                <c:pt idx="5">
                  <c:v>40828.060000000012</c:v>
                </c:pt>
                <c:pt idx="6">
                  <c:v>51579.749000000011</c:v>
                </c:pt>
                <c:pt idx="7">
                  <c:v>58484.69400000001</c:v>
                </c:pt>
                <c:pt idx="8">
                  <c:v>69928.113000000012</c:v>
                </c:pt>
                <c:pt idx="9">
                  <c:v>80647.870840000018</c:v>
                </c:pt>
                <c:pt idx="10">
                  <c:v>88236.085840000014</c:v>
                </c:pt>
                <c:pt idx="11">
                  <c:v>96501.460840000014</c:v>
                </c:pt>
                <c:pt idx="12">
                  <c:v>105481.49052000002</c:v>
                </c:pt>
                <c:pt idx="13">
                  <c:v>109713.29552000001</c:v>
                </c:pt>
                <c:pt idx="14">
                  <c:v>110453.93852000001</c:v>
                </c:pt>
              </c:numCache>
            </c:numRef>
          </c:val>
          <c:smooth val="0"/>
          <c:extLst xmlns:c16r2="http://schemas.microsoft.com/office/drawing/2015/06/chart">
            <c:ext xmlns:c16="http://schemas.microsoft.com/office/drawing/2014/chart" uri="{C3380CC4-5D6E-409C-BE32-E72D297353CC}">
              <c16:uniqueId val="{00000001-BCA7-47CE-A099-ACD2B127424D}"/>
            </c:ext>
          </c:extLst>
        </c:ser>
        <c:ser>
          <c:idx val="2"/>
          <c:order val="2"/>
          <c:tx>
            <c:strRef>
              <c:f>'Comp semanas hasta 36'!$B$6</c:f>
              <c:strCache>
                <c:ptCount val="1"/>
                <c:pt idx="0">
                  <c:v>RUSIA</c:v>
                </c:pt>
              </c:strCache>
            </c:strRef>
          </c:tx>
          <c:spPr>
            <a:ln w="28575" cap="rnd">
              <a:solidFill>
                <a:schemeClr val="accent3"/>
              </a:solidFill>
              <a:round/>
            </a:ln>
            <a:effectLst/>
          </c:spPr>
          <c:marker>
            <c:symbol val="none"/>
          </c:marker>
          <c:cat>
            <c:numRef>
              <c:f>'Comp semanas hasta 36'!$C$3:$Q$3</c:f>
              <c:numCache>
                <c:formatCode>General</c:formatCode>
                <c:ptCount val="15"/>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numCache>
            </c:numRef>
          </c:cat>
          <c:val>
            <c:numRef>
              <c:f>'Comp semanas hasta 36'!$C$6:$Q$6</c:f>
              <c:numCache>
                <c:formatCode>#,##0.00</c:formatCode>
                <c:ptCount val="15"/>
                <c:pt idx="0">
                  <c:v>15710.267</c:v>
                </c:pt>
                <c:pt idx="1">
                  <c:v>17845.456999999999</c:v>
                </c:pt>
                <c:pt idx="2">
                  <c:v>18607.091</c:v>
                </c:pt>
                <c:pt idx="3">
                  <c:v>20772.244999999999</c:v>
                </c:pt>
                <c:pt idx="4">
                  <c:v>22776.796999999999</c:v>
                </c:pt>
                <c:pt idx="5">
                  <c:v>24104.314999999999</c:v>
                </c:pt>
                <c:pt idx="6">
                  <c:v>25609.254099999998</c:v>
                </c:pt>
                <c:pt idx="7">
                  <c:v>26439.573099999998</c:v>
                </c:pt>
                <c:pt idx="8">
                  <c:v>28557.597099999999</c:v>
                </c:pt>
                <c:pt idx="9">
                  <c:v>30167.5831</c:v>
                </c:pt>
                <c:pt idx="10">
                  <c:v>32366.0851</c:v>
                </c:pt>
                <c:pt idx="11">
                  <c:v>34825.689100000003</c:v>
                </c:pt>
                <c:pt idx="12">
                  <c:v>36676.341100000005</c:v>
                </c:pt>
                <c:pt idx="13">
                  <c:v>38997.123100000004</c:v>
                </c:pt>
                <c:pt idx="14">
                  <c:v>39901.731100000005</c:v>
                </c:pt>
              </c:numCache>
            </c:numRef>
          </c:val>
          <c:smooth val="0"/>
          <c:extLst xmlns:c16r2="http://schemas.microsoft.com/office/drawing/2015/06/chart">
            <c:ext xmlns:c16="http://schemas.microsoft.com/office/drawing/2014/chart" uri="{C3380CC4-5D6E-409C-BE32-E72D297353CC}">
              <c16:uniqueId val="{00000002-BCA7-47CE-A099-ACD2B127424D}"/>
            </c:ext>
          </c:extLst>
        </c:ser>
        <c:ser>
          <c:idx val="3"/>
          <c:order val="3"/>
          <c:tx>
            <c:strRef>
              <c:f>'Comp semanas hasta 36'!$B$7</c:f>
              <c:strCache>
                <c:ptCount val="1"/>
                <c:pt idx="0">
                  <c:v>OTROS DESTINOS</c:v>
                </c:pt>
              </c:strCache>
            </c:strRef>
          </c:tx>
          <c:spPr>
            <a:ln w="28575" cap="rnd">
              <a:solidFill>
                <a:schemeClr val="accent4"/>
              </a:solidFill>
              <a:round/>
            </a:ln>
            <a:effectLst/>
          </c:spPr>
          <c:marker>
            <c:symbol val="none"/>
          </c:marker>
          <c:cat>
            <c:numRef>
              <c:f>'Comp semanas hasta 36'!$C$3:$Q$3</c:f>
              <c:numCache>
                <c:formatCode>General</c:formatCode>
                <c:ptCount val="15"/>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numCache>
            </c:numRef>
          </c:cat>
          <c:val>
            <c:numRef>
              <c:f>'Comp semanas hasta 36'!$C$7:$Q$7</c:f>
              <c:numCache>
                <c:formatCode>#,##0.00</c:formatCode>
                <c:ptCount val="15"/>
                <c:pt idx="0">
                  <c:v>13970.4</c:v>
                </c:pt>
                <c:pt idx="1">
                  <c:v>17612.9264</c:v>
                </c:pt>
                <c:pt idx="2">
                  <c:v>19612.464</c:v>
                </c:pt>
                <c:pt idx="3">
                  <c:v>21552.694800000001</c:v>
                </c:pt>
                <c:pt idx="4">
                  <c:v>24347.1996</c:v>
                </c:pt>
                <c:pt idx="5">
                  <c:v>26422.059600000001</c:v>
                </c:pt>
                <c:pt idx="6">
                  <c:v>28215.224399999999</c:v>
                </c:pt>
                <c:pt idx="7">
                  <c:v>29543.344399999998</c:v>
                </c:pt>
                <c:pt idx="8">
                  <c:v>31176.317099999997</c:v>
                </c:pt>
                <c:pt idx="9">
                  <c:v>33412.073899999996</c:v>
                </c:pt>
                <c:pt idx="10">
                  <c:v>34599.800699999993</c:v>
                </c:pt>
                <c:pt idx="11">
                  <c:v>36162.819899999995</c:v>
                </c:pt>
                <c:pt idx="12">
                  <c:v>38456.227899999998</c:v>
                </c:pt>
                <c:pt idx="13">
                  <c:v>39066.9859</c:v>
                </c:pt>
                <c:pt idx="14">
                  <c:v>39226.221899999997</c:v>
                </c:pt>
              </c:numCache>
            </c:numRef>
          </c:val>
          <c:smooth val="0"/>
          <c:extLst xmlns:c16r2="http://schemas.microsoft.com/office/drawing/2015/06/chart">
            <c:ext xmlns:c16="http://schemas.microsoft.com/office/drawing/2014/chart" uri="{C3380CC4-5D6E-409C-BE32-E72D297353CC}">
              <c16:uniqueId val="{00000003-BCA7-47CE-A099-ACD2B127424D}"/>
            </c:ext>
          </c:extLst>
        </c:ser>
        <c:ser>
          <c:idx val="4"/>
          <c:order val="4"/>
          <c:tx>
            <c:strRef>
              <c:f>'Comp semanas hasta 36'!$B$8</c:f>
              <c:strCache>
                <c:ptCount val="1"/>
                <c:pt idx="0">
                  <c:v>TOTAL</c:v>
                </c:pt>
              </c:strCache>
            </c:strRef>
          </c:tx>
          <c:spPr>
            <a:ln w="28575" cap="rnd">
              <a:solidFill>
                <a:schemeClr val="accent5"/>
              </a:solidFill>
              <a:round/>
            </a:ln>
            <a:effectLst/>
          </c:spPr>
          <c:marker>
            <c:symbol val="none"/>
          </c:marker>
          <c:cat>
            <c:numRef>
              <c:f>'Comp semanas hasta 36'!$C$3:$Q$3</c:f>
              <c:numCache>
                <c:formatCode>General</c:formatCode>
                <c:ptCount val="15"/>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numCache>
            </c:numRef>
          </c:cat>
          <c:val>
            <c:numRef>
              <c:f>'Comp semanas hasta 36'!$C$8:$Q$8</c:f>
              <c:numCache>
                <c:formatCode>#,##0.00</c:formatCode>
                <c:ptCount val="15"/>
                <c:pt idx="0">
                  <c:v>54523.697</c:v>
                </c:pt>
                <c:pt idx="1">
                  <c:v>70517.107199999999</c:v>
                </c:pt>
                <c:pt idx="2">
                  <c:v>84870.543000000005</c:v>
                </c:pt>
                <c:pt idx="3">
                  <c:v>101796.573</c:v>
                </c:pt>
                <c:pt idx="4">
                  <c:v>125076.0784</c:v>
                </c:pt>
                <c:pt idx="5">
                  <c:v>137078.78240000003</c:v>
                </c:pt>
                <c:pt idx="6">
                  <c:v>156060.1453</c:v>
                </c:pt>
                <c:pt idx="7">
                  <c:v>170377.00930000003</c:v>
                </c:pt>
                <c:pt idx="8">
                  <c:v>190089.18599999999</c:v>
                </c:pt>
                <c:pt idx="9">
                  <c:v>207586.36824000001</c:v>
                </c:pt>
                <c:pt idx="10">
                  <c:v>222162.75704</c:v>
                </c:pt>
                <c:pt idx="11">
                  <c:v>236643.25724000001</c:v>
                </c:pt>
                <c:pt idx="12">
                  <c:v>251446.75892000005</c:v>
                </c:pt>
                <c:pt idx="13">
                  <c:v>259559.09992000001</c:v>
                </c:pt>
                <c:pt idx="14">
                  <c:v>261835.91892</c:v>
                </c:pt>
              </c:numCache>
            </c:numRef>
          </c:val>
          <c:smooth val="0"/>
          <c:extLst xmlns:c16r2="http://schemas.microsoft.com/office/drawing/2015/06/chart">
            <c:ext xmlns:c16="http://schemas.microsoft.com/office/drawing/2014/chart" uri="{C3380CC4-5D6E-409C-BE32-E72D297353CC}">
              <c16:uniqueId val="{00000004-BCA7-47CE-A099-ACD2B127424D}"/>
            </c:ext>
          </c:extLst>
        </c:ser>
        <c:dLbls>
          <c:showLegendKey val="0"/>
          <c:showVal val="0"/>
          <c:showCatName val="0"/>
          <c:showSerName val="0"/>
          <c:showPercent val="0"/>
          <c:showBubbleSize val="0"/>
        </c:dLbls>
        <c:marker val="1"/>
        <c:smooth val="0"/>
        <c:axId val="272126336"/>
        <c:axId val="272127872"/>
      </c:lineChart>
      <c:catAx>
        <c:axId val="27212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72127872"/>
        <c:crosses val="autoZero"/>
        <c:auto val="1"/>
        <c:lblAlgn val="ctr"/>
        <c:lblOffset val="100"/>
        <c:noMultiLvlLbl val="0"/>
      </c:catAx>
      <c:valAx>
        <c:axId val="2721278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721263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647700</xdr:colOff>
      <xdr:row>20</xdr:row>
      <xdr:rowOff>133631</xdr:rowOff>
    </xdr:from>
    <xdr:to>
      <xdr:col>7</xdr:col>
      <xdr:colOff>238125</xdr:colOff>
      <xdr:row>34</xdr:row>
      <xdr:rowOff>95250</xdr:rowOff>
    </xdr:to>
    <xdr:graphicFrame macro="">
      <xdr:nvGraphicFramePr>
        <xdr:cNvPr id="9" name="Gráfico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xdr:colOff>
      <xdr:row>1</xdr:row>
      <xdr:rowOff>0</xdr:rowOff>
    </xdr:from>
    <xdr:to>
      <xdr:col>2</xdr:col>
      <xdr:colOff>361951</xdr:colOff>
      <xdr:row>3</xdr:row>
      <xdr:rowOff>173349</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a:srcRect/>
        <a:stretch>
          <a:fillRect/>
        </a:stretch>
      </xdr:blipFill>
      <xdr:spPr bwMode="auto">
        <a:xfrm>
          <a:off x="219076" y="238125"/>
          <a:ext cx="2686050" cy="662828"/>
        </a:xfrm>
        <a:prstGeom prst="rect">
          <a:avLst/>
        </a:prstGeom>
        <a:noFill/>
        <a:ln w="9525">
          <a:noFill/>
          <a:miter lim="800000"/>
          <a:headEnd/>
          <a:tailEnd/>
        </a:ln>
      </xdr:spPr>
    </xdr:pic>
    <xdr:clientData/>
  </xdr:twoCellAnchor>
  <xdr:twoCellAnchor>
    <xdr:from>
      <xdr:col>0</xdr:col>
      <xdr:colOff>152400</xdr:colOff>
      <xdr:row>20</xdr:row>
      <xdr:rowOff>147637</xdr:rowOff>
    </xdr:from>
    <xdr:to>
      <xdr:col>3</xdr:col>
      <xdr:colOff>533400</xdr:colOff>
      <xdr:row>34</xdr:row>
      <xdr:rowOff>90487</xdr:rowOff>
    </xdr:to>
    <xdr:graphicFrame macro="">
      <xdr:nvGraphicFramePr>
        <xdr:cNvPr id="2" name="Gráfico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1381125</xdr:colOff>
      <xdr:row>26</xdr:row>
      <xdr:rowOff>147982</xdr:rowOff>
    </xdr:from>
    <xdr:ext cx="1322606" cy="483722"/>
    <xdr:sp macro="" textlink="">
      <xdr:nvSpPr>
        <xdr:cNvPr id="4" name="CuadroTexto 3">
          <a:extLst>
            <a:ext uri="{FF2B5EF4-FFF2-40B4-BE49-F238E27FC236}">
              <a16:creationId xmlns:a16="http://schemas.microsoft.com/office/drawing/2014/main" xmlns="" id="{00000000-0008-0000-0000-000004000000}"/>
            </a:ext>
          </a:extLst>
        </xdr:cNvPr>
        <xdr:cNvSpPr txBox="1"/>
      </xdr:nvSpPr>
      <xdr:spPr>
        <a:xfrm>
          <a:off x="1598839" y="6230375"/>
          <a:ext cx="1322606" cy="483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ES" sz="1100"/>
            <a:t>Total Expot. Sem</a:t>
          </a:r>
          <a:r>
            <a:rPr lang="es-ES" sz="1100" baseline="0"/>
            <a:t> 36</a:t>
          </a:r>
        </a:p>
        <a:p>
          <a:pPr algn="ctr"/>
          <a:r>
            <a:rPr lang="es-ES" sz="1400" b="1" baseline="0"/>
            <a:t>364.679,56 TN</a:t>
          </a:r>
          <a:endParaRPr lang="es-ES" sz="14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830037</xdr:colOff>
      <xdr:row>3</xdr:row>
      <xdr:rowOff>194982</xdr:rowOff>
    </xdr:to>
    <xdr:pic>
      <xdr:nvPicPr>
        <xdr:cNvPr id="2" name="1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rcRect/>
        <a:stretch>
          <a:fillRect/>
        </a:stretch>
      </xdr:blipFill>
      <xdr:spPr bwMode="auto">
        <a:xfrm>
          <a:off x="489858" y="204107"/>
          <a:ext cx="2762250" cy="664029"/>
        </a:xfrm>
        <a:prstGeom prst="rect">
          <a:avLst/>
        </a:prstGeom>
        <a:noFill/>
        <a:ln w="9525">
          <a:noFill/>
          <a:miter lim="800000"/>
          <a:headEnd/>
          <a:tailEnd/>
        </a:ln>
      </xdr:spPr>
    </xdr:pic>
    <xdr:clientData/>
  </xdr:twoCellAnchor>
  <xdr:twoCellAnchor>
    <xdr:from>
      <xdr:col>1</xdr:col>
      <xdr:colOff>816429</xdr:colOff>
      <xdr:row>22</xdr:row>
      <xdr:rowOff>152400</xdr:rowOff>
    </xdr:from>
    <xdr:to>
      <xdr:col>3</xdr:col>
      <xdr:colOff>1632857</xdr:colOff>
      <xdr:row>35</xdr:row>
      <xdr:rowOff>201385</xdr:rowOff>
    </xdr:to>
    <xdr:graphicFrame macro="">
      <xdr:nvGraphicFramePr>
        <xdr:cNvPr id="3" name="Gráfico 2">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546069</xdr:colOff>
      <xdr:row>29</xdr:row>
      <xdr:rowOff>36352</xdr:rowOff>
    </xdr:from>
    <xdr:ext cx="1351972" cy="687239"/>
    <xdr:sp macro="" textlink="">
      <xdr:nvSpPr>
        <xdr:cNvPr id="5" name="CuadroTexto 4">
          <a:extLst>
            <a:ext uri="{FF2B5EF4-FFF2-40B4-BE49-F238E27FC236}">
              <a16:creationId xmlns:a16="http://schemas.microsoft.com/office/drawing/2014/main" xmlns="" id="{00000000-0008-0000-0100-000005000000}"/>
            </a:ext>
          </a:extLst>
        </xdr:cNvPr>
        <xdr:cNvSpPr txBox="1"/>
      </xdr:nvSpPr>
      <xdr:spPr>
        <a:xfrm>
          <a:off x="2968140" y="6771888"/>
          <a:ext cx="1351972" cy="687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AR" sz="1100"/>
            <a:t>Total expor limones </a:t>
          </a:r>
        </a:p>
        <a:p>
          <a:pPr algn="ctr"/>
          <a:r>
            <a:rPr lang="es-AR" sz="1100"/>
            <a:t>sem 36</a:t>
          </a:r>
        </a:p>
        <a:p>
          <a:pPr algn="ctr"/>
          <a:r>
            <a:rPr lang="es-AR" sz="1600" b="1"/>
            <a:t>261.835,94 tn</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0.43155</cdr:x>
      <cdr:y>0.48512</cdr:y>
    </cdr:from>
    <cdr:to>
      <cdr:x>0.63155</cdr:x>
      <cdr:y>0.81845</cdr:y>
    </cdr:to>
    <cdr:sp macro="" textlink="">
      <cdr:nvSpPr>
        <cdr:cNvPr id="2" name="CuadroTexto 1">
          <a:extLst xmlns:a="http://schemas.openxmlformats.org/drawingml/2006/main">
            <a:ext uri="{FF2B5EF4-FFF2-40B4-BE49-F238E27FC236}">
              <a16:creationId xmlns:a16="http://schemas.microsoft.com/office/drawing/2014/main" xmlns="" id="{0D8CC1FB-93FD-4C90-B45D-CBFC472B6703}"/>
            </a:ext>
          </a:extLst>
        </cdr:cNvPr>
        <cdr:cNvSpPr txBox="1"/>
      </cdr:nvSpPr>
      <cdr:spPr>
        <a:xfrm xmlns:a="http://schemas.openxmlformats.org/drawingml/2006/main">
          <a:off x="1973035" y="133077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173490</xdr:colOff>
      <xdr:row>0</xdr:row>
      <xdr:rowOff>188799</xdr:rowOff>
    </xdr:from>
    <xdr:to>
      <xdr:col>4</xdr:col>
      <xdr:colOff>208868</xdr:colOff>
      <xdr:row>3</xdr:row>
      <xdr:rowOff>55609</xdr:rowOff>
    </xdr:to>
    <xdr:pic>
      <xdr:nvPicPr>
        <xdr:cNvPr id="2" name="1 Imagen">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a:srcRect/>
        <a:stretch>
          <a:fillRect/>
        </a:stretch>
      </xdr:blipFill>
      <xdr:spPr bwMode="auto">
        <a:xfrm>
          <a:off x="173490" y="188799"/>
          <a:ext cx="2688771" cy="68323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152400</xdr:rowOff>
    </xdr:from>
    <xdr:to>
      <xdr:col>2</xdr:col>
      <xdr:colOff>1600200</xdr:colOff>
      <xdr:row>4</xdr:row>
      <xdr:rowOff>46383</xdr:rowOff>
    </xdr:to>
    <xdr:pic>
      <xdr:nvPicPr>
        <xdr:cNvPr id="2" name="1 Imagen">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a:srcRect/>
        <a:stretch>
          <a:fillRect/>
        </a:stretch>
      </xdr:blipFill>
      <xdr:spPr bwMode="auto">
        <a:xfrm>
          <a:off x="238125" y="152400"/>
          <a:ext cx="2790825" cy="657225"/>
        </a:xfrm>
        <a:prstGeom prst="rect">
          <a:avLst/>
        </a:prstGeom>
        <a:noFill/>
        <a:ln w="9525">
          <a:noFill/>
          <a:miter lim="800000"/>
          <a:headEnd/>
          <a:tailEnd/>
        </a:ln>
      </xdr:spPr>
    </xdr:pic>
    <xdr:clientData/>
  </xdr:twoCellAnchor>
  <xdr:twoCellAnchor editAs="oneCell">
    <xdr:from>
      <xdr:col>9</xdr:col>
      <xdr:colOff>907677</xdr:colOff>
      <xdr:row>54</xdr:row>
      <xdr:rowOff>78442</xdr:rowOff>
    </xdr:from>
    <xdr:to>
      <xdr:col>15</xdr:col>
      <xdr:colOff>356956</xdr:colOff>
      <xdr:row>79</xdr:row>
      <xdr:rowOff>11206</xdr:rowOff>
    </xdr:to>
    <xdr:sp macro="" textlink="">
      <xdr:nvSpPr>
        <xdr:cNvPr id="3073" name="AutoShape 1">
          <a:extLst>
            <a:ext uri="{FF2B5EF4-FFF2-40B4-BE49-F238E27FC236}">
              <a16:creationId xmlns:a16="http://schemas.microsoft.com/office/drawing/2014/main" xmlns="" id="{00000000-0008-0000-0400-0000010C0000}"/>
            </a:ext>
          </a:extLst>
        </xdr:cNvPr>
        <xdr:cNvSpPr>
          <a:spLocks noChangeAspect="1" noChangeArrowheads="1"/>
        </xdr:cNvSpPr>
      </xdr:nvSpPr>
      <xdr:spPr bwMode="auto">
        <a:xfrm>
          <a:off x="11071412" y="11799795"/>
          <a:ext cx="4695264" cy="46952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114300</xdr:rowOff>
    </xdr:to>
    <xdr:sp macro="" textlink="">
      <xdr:nvSpPr>
        <xdr:cNvPr id="3074" name="AutoShape 2">
          <a:extLst>
            <a:ext uri="{FF2B5EF4-FFF2-40B4-BE49-F238E27FC236}">
              <a16:creationId xmlns:a16="http://schemas.microsoft.com/office/drawing/2014/main" xmlns="" id="{00000000-0008-0000-0400-0000020C0000}"/>
            </a:ext>
          </a:extLst>
        </xdr:cNvPr>
        <xdr:cNvSpPr>
          <a:spLocks noChangeAspect="1" noChangeArrowheads="1"/>
        </xdr:cNvSpPr>
      </xdr:nvSpPr>
      <xdr:spPr bwMode="auto">
        <a:xfrm>
          <a:off x="6686550" y="997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44</xdr:row>
      <xdr:rowOff>0</xdr:rowOff>
    </xdr:from>
    <xdr:to>
      <xdr:col>1</xdr:col>
      <xdr:colOff>304800</xdr:colOff>
      <xdr:row>45</xdr:row>
      <xdr:rowOff>114300</xdr:rowOff>
    </xdr:to>
    <xdr:sp macro="" textlink="">
      <xdr:nvSpPr>
        <xdr:cNvPr id="3075" name="AutoShape 3">
          <a:extLst>
            <a:ext uri="{FF2B5EF4-FFF2-40B4-BE49-F238E27FC236}">
              <a16:creationId xmlns:a16="http://schemas.microsoft.com/office/drawing/2014/main" xmlns="" id="{00000000-0008-0000-0400-0000030C0000}"/>
            </a:ext>
          </a:extLst>
        </xdr:cNvPr>
        <xdr:cNvSpPr>
          <a:spLocks noChangeAspect="1" noChangeArrowheads="1"/>
        </xdr:cNvSpPr>
      </xdr:nvSpPr>
      <xdr:spPr bwMode="auto">
        <a:xfrm>
          <a:off x="333375" y="921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1104900</xdr:colOff>
      <xdr:row>16</xdr:row>
      <xdr:rowOff>42862</xdr:rowOff>
    </xdr:from>
    <xdr:to>
      <xdr:col>10</xdr:col>
      <xdr:colOff>190500</xdr:colOff>
      <xdr:row>29</xdr:row>
      <xdr:rowOff>100012</xdr:rowOff>
    </xdr:to>
    <xdr:graphicFrame macro="">
      <xdr:nvGraphicFramePr>
        <xdr:cNvPr id="4" name="Gráfico 3">
          <a:extLst>
            <a:ext uri="{FF2B5EF4-FFF2-40B4-BE49-F238E27FC236}">
              <a16:creationId xmlns:a16="http://schemas.microsoft.com/office/drawing/2014/main" xmlns="" id="{611EB816-C49D-4528-96D4-F8C2D7943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66676</xdr:rowOff>
    </xdr:from>
    <xdr:to>
      <xdr:col>2</xdr:col>
      <xdr:colOff>688340</xdr:colOff>
      <xdr:row>3</xdr:row>
      <xdr:rowOff>85726</xdr:rowOff>
    </xdr:to>
    <xdr:pic>
      <xdr:nvPicPr>
        <xdr:cNvPr id="2" name="1 Imagen">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srcRect/>
        <a:stretch>
          <a:fillRect/>
        </a:stretch>
      </xdr:blipFill>
      <xdr:spPr bwMode="auto">
        <a:xfrm>
          <a:off x="0" y="66676"/>
          <a:ext cx="2240915" cy="590550"/>
        </a:xfrm>
        <a:prstGeom prst="rect">
          <a:avLst/>
        </a:prstGeom>
        <a:noFill/>
        <a:ln w="9525">
          <a:noFill/>
          <a:miter lim="800000"/>
          <a:headEnd/>
          <a:tailEnd/>
        </a:ln>
      </xdr:spPr>
    </xdr:pic>
    <xdr:clientData/>
  </xdr:twoCellAnchor>
  <xdr:twoCellAnchor>
    <xdr:from>
      <xdr:col>7</xdr:col>
      <xdr:colOff>147637</xdr:colOff>
      <xdr:row>7</xdr:row>
      <xdr:rowOff>128587</xdr:rowOff>
    </xdr:from>
    <xdr:to>
      <xdr:col>13</xdr:col>
      <xdr:colOff>190501</xdr:colOff>
      <xdr:row>19</xdr:row>
      <xdr:rowOff>228600</xdr:rowOff>
    </xdr:to>
    <xdr:graphicFrame macro="">
      <xdr:nvGraphicFramePr>
        <xdr:cNvPr id="10" name="Gráfico 9">
          <a:extLst>
            <a:ext uri="{FF2B5EF4-FFF2-40B4-BE49-F238E27FC236}">
              <a16:creationId xmlns:a16="http://schemas.microsoft.com/office/drawing/2014/main" xmlns=""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23</xdr:row>
      <xdr:rowOff>0</xdr:rowOff>
    </xdr:from>
    <xdr:to>
      <xdr:col>0</xdr:col>
      <xdr:colOff>304800</xdr:colOff>
      <xdr:row>24</xdr:row>
      <xdr:rowOff>66675</xdr:rowOff>
    </xdr:to>
    <xdr:sp macro="" textlink="">
      <xdr:nvSpPr>
        <xdr:cNvPr id="4098" name="AutoShape 2">
          <a:extLst>
            <a:ext uri="{FF2B5EF4-FFF2-40B4-BE49-F238E27FC236}">
              <a16:creationId xmlns:a16="http://schemas.microsoft.com/office/drawing/2014/main" xmlns="" id="{00000000-0008-0000-0500-000002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24</xdr:row>
      <xdr:rowOff>66675</xdr:rowOff>
    </xdr:to>
    <xdr:sp macro="" textlink="">
      <xdr:nvSpPr>
        <xdr:cNvPr id="4099" name="AutoShape 3">
          <a:extLst>
            <a:ext uri="{FF2B5EF4-FFF2-40B4-BE49-F238E27FC236}">
              <a16:creationId xmlns:a16="http://schemas.microsoft.com/office/drawing/2014/main" xmlns="" id="{00000000-0008-0000-0500-000003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47624</xdr:rowOff>
    </xdr:from>
    <xdr:to>
      <xdr:col>4</xdr:col>
      <xdr:colOff>605118</xdr:colOff>
      <xdr:row>43</xdr:row>
      <xdr:rowOff>123264</xdr:rowOff>
    </xdr:to>
    <xdr:sp macro="" textlink="">
      <xdr:nvSpPr>
        <xdr:cNvPr id="4100" name="AutoShape 4">
          <a:extLst>
            <a:ext uri="{FF2B5EF4-FFF2-40B4-BE49-F238E27FC236}">
              <a16:creationId xmlns:a16="http://schemas.microsoft.com/office/drawing/2014/main" xmlns="" id="{00000000-0008-0000-0500-000004100000}"/>
            </a:ext>
          </a:extLst>
        </xdr:cNvPr>
        <xdr:cNvSpPr>
          <a:spLocks noChangeAspect="1" noChangeArrowheads="1"/>
        </xdr:cNvSpPr>
      </xdr:nvSpPr>
      <xdr:spPr bwMode="auto">
        <a:xfrm>
          <a:off x="0" y="4562474"/>
          <a:ext cx="4119843" cy="41237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333375</xdr:colOff>
      <xdr:row>12</xdr:row>
      <xdr:rowOff>4762</xdr:rowOff>
    </xdr:from>
    <xdr:to>
      <xdr:col>9</xdr:col>
      <xdr:colOff>333375</xdr:colOff>
      <xdr:row>26</xdr:row>
      <xdr:rowOff>80962</xdr:rowOff>
    </xdr:to>
    <xdr:graphicFrame macro="">
      <xdr:nvGraphicFramePr>
        <xdr:cNvPr id="2" name="Gráfico 3">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421640</xdr:colOff>
      <xdr:row>3</xdr:row>
      <xdr:rowOff>209550</xdr:rowOff>
    </xdr:to>
    <xdr:pic>
      <xdr:nvPicPr>
        <xdr:cNvPr id="2" name="1 Imagen">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a:srcRect/>
        <a:stretch>
          <a:fillRect/>
        </a:stretch>
      </xdr:blipFill>
      <xdr:spPr bwMode="auto">
        <a:xfrm>
          <a:off x="762000" y="190500"/>
          <a:ext cx="2240915" cy="5905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145415</xdr:colOff>
      <xdr:row>5</xdr:row>
      <xdr:rowOff>19050</xdr:rowOff>
    </xdr:to>
    <xdr:pic>
      <xdr:nvPicPr>
        <xdr:cNvPr id="2" name="1 Imagen">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bwMode="auto">
        <a:xfrm>
          <a:off x="762000" y="381000"/>
          <a:ext cx="2240915" cy="59055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CNOA/Downloads/Base%20detecciones%20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FINOA - Mariana" refreshedDate="44382.542707060187" createdVersion="7" refreshedVersion="4" minRefreshableVersion="3" recordCount="182">
  <cacheSource type="worksheet">
    <worksheetSource ref="A1:J183" sheet="EMPAQUE" r:id="rId2"/>
  </cacheSource>
  <cacheFields count="10">
    <cacheField name="Nº" numFmtId="0">
      <sharedItems containsString="0" containsBlank="1" containsNumber="1" containsInteger="1" minValue="1" maxValue="237"/>
    </cacheField>
    <cacheField name="Fecha Detección" numFmtId="14">
      <sharedItems containsSemiMixedTypes="0" containsNonDate="0" containsDate="1" containsString="0" minDate="2020-04-15T00:00:00" maxDate="2020-07-22T00:00:00" count="65">
        <d v="2020-04-15T00:00:00"/>
        <d v="2020-04-16T00:00:00"/>
        <d v="2020-04-17T00:00:00"/>
        <d v="2020-04-18T00:00:00"/>
        <d v="2020-04-20T00:00:00"/>
        <d v="2020-04-21T00:00:00"/>
        <d v="2020-04-23T00:00:00"/>
        <d v="2020-04-24T00:00:00"/>
        <d v="2020-04-25T00:00:00"/>
        <d v="2020-04-27T00:00:00"/>
        <d v="2020-04-28T00:00:00"/>
        <d v="2020-04-29T00:00:00"/>
        <d v="2020-04-30T00:00:00"/>
        <d v="2020-05-02T00:00:00"/>
        <d v="2020-05-04T00:00:00"/>
        <d v="2020-05-05T00:00:00"/>
        <d v="2020-05-06T00:00:00"/>
        <d v="2020-05-07T00:00:00"/>
        <d v="2020-05-08T00:00:00"/>
        <d v="2020-05-09T00:00:00"/>
        <d v="2020-05-12T00:00:00"/>
        <d v="2020-05-13T00:00:00"/>
        <d v="2020-05-14T00:00:00"/>
        <d v="2020-05-15T00:00:00"/>
        <d v="2020-05-16T00:00:00"/>
        <d v="2020-05-18T00:00:00"/>
        <d v="2020-05-20T00:00:00"/>
        <d v="2020-05-21T00:00:00"/>
        <d v="2020-05-22T00:00:00"/>
        <d v="2020-05-23T00:00:00"/>
        <d v="2020-05-25T00:00:00"/>
        <d v="2020-05-26T00:00:00"/>
        <d v="2020-05-27T00:00:00"/>
        <d v="2020-05-28T00:00:00"/>
        <d v="2020-05-29T00:00:00"/>
        <d v="2020-06-01T00:00:00"/>
        <d v="2020-06-02T00:00:00"/>
        <d v="2020-06-03T00:00:00"/>
        <d v="2020-06-04T00:00:00"/>
        <d v="2020-06-05T00:00:00"/>
        <d v="2020-06-06T00:00:00"/>
        <d v="2020-06-08T00:00:00"/>
        <d v="2020-06-09T00:00:00"/>
        <d v="2020-06-10T00:00:00"/>
        <d v="2020-06-11T00:00:00"/>
        <d v="2020-06-12T00:00:00"/>
        <d v="2020-06-15T00:00:00"/>
        <d v="2020-06-16T00:00:00"/>
        <d v="2020-06-17T00:00:00"/>
        <d v="2020-06-18T00:00:00"/>
        <d v="2020-06-19T00:00:00"/>
        <d v="2020-06-20T00:00:00"/>
        <d v="2020-06-23T00:00:00"/>
        <d v="2020-06-29T00:00:00"/>
        <d v="2020-06-30T00:00:00"/>
        <d v="2020-07-03T00:00:00"/>
        <d v="2020-07-08T00:00:00"/>
        <d v="2020-07-10T00:00:00"/>
        <d v="2020-07-11T00:00:00"/>
        <d v="2020-07-12T00:00:00"/>
        <d v="2020-07-14T00:00:00"/>
        <d v="2020-07-15T00:00:00"/>
        <d v="2020-07-17T00:00:00"/>
        <d v="2020-07-20T00:00:00"/>
        <d v="2020-07-21T00:00:00"/>
      </sharedItems>
    </cacheField>
    <cacheField name="Fecha Inhabilitación SITC" numFmtId="0">
      <sharedItems containsDate="1" containsMixedTypes="1" minDate="1900-01-06T00:00:00" maxDate="2020-07-24T00:00:00"/>
    </cacheField>
    <cacheField name="SITUACION" numFmtId="0">
      <sharedItems count="3">
        <s v="INHABILITADA"/>
        <s v="BLOQUEADA"/>
        <s v="EVENTO"/>
      </sharedItems>
    </cacheField>
    <cacheField name="UP" numFmtId="0">
      <sharedItems/>
    </cacheField>
    <cacheField name="Establecimiento" numFmtId="0">
      <sharedItems/>
    </cacheField>
    <cacheField name="Especie" numFmtId="0">
      <sharedItems count="2">
        <s v="LIMON"/>
        <s v="NARANJA"/>
      </sharedItems>
    </cacheField>
    <cacheField name="Causa" numFmtId="0">
      <sharedItems count="3">
        <s v="MANCHA"/>
        <s v="CANCRO"/>
        <s v="MOSCA"/>
      </sharedItems>
    </cacheField>
    <cacheField name="Lugar" numFmtId="0">
      <sharedItems count="1">
        <s v="EMPAQUE"/>
      </sharedItems>
    </cacheField>
    <cacheField name="Empaqu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2">
  <r>
    <n v="1"/>
    <x v="0"/>
    <d v="2020-04-17T00:00:00"/>
    <x v="0"/>
    <s v="TU-0023-001"/>
    <s v="TU-0023"/>
    <x v="0"/>
    <x v="0"/>
    <x v="0"/>
    <s v="CITRUSVIL S.A."/>
  </r>
  <r>
    <n v="3"/>
    <x v="1"/>
    <d v="2020-04-18T00:00:00"/>
    <x v="0"/>
    <s v="TU-0009-010"/>
    <s v="TU-0009"/>
    <x v="0"/>
    <x v="0"/>
    <x v="0"/>
    <s v="VICENTE TRÁPANI S.A."/>
  </r>
  <r>
    <n v="4"/>
    <x v="2"/>
    <s v="SIN INHABILITACION"/>
    <x v="1"/>
    <s v="TU-0426-026"/>
    <s v="TU-0426"/>
    <x v="0"/>
    <x v="1"/>
    <x v="0"/>
    <s v="FRANCISCO E. MUDAD"/>
  </r>
  <r>
    <n v="6"/>
    <x v="3"/>
    <d v="2020-04-18T00:00:00"/>
    <x v="0"/>
    <s v="TU-0019-021"/>
    <s v="TU-0019"/>
    <x v="0"/>
    <x v="0"/>
    <x v="0"/>
    <s v="VICENTE TRÁPANI S.A."/>
  </r>
  <r>
    <n v="7"/>
    <x v="4"/>
    <d v="2020-04-22T00:00:00"/>
    <x v="0"/>
    <s v="TU-0018-024"/>
    <s v="TU-0018"/>
    <x v="0"/>
    <x v="1"/>
    <x v="0"/>
    <s v="CITRUSVIL S.A."/>
  </r>
  <r>
    <n v="8"/>
    <x v="4"/>
    <d v="2020-04-22T00:00:00"/>
    <x v="0"/>
    <s v="TU-0426-013"/>
    <s v="TU-0426"/>
    <x v="0"/>
    <x v="1"/>
    <x v="0"/>
    <s v="FRANCISCO E. MUDAD"/>
  </r>
  <r>
    <n v="9"/>
    <x v="4"/>
    <d v="2020-04-23T00:00:00"/>
    <x v="0"/>
    <s v="TU-0019-018"/>
    <s v="TU-0019"/>
    <x v="0"/>
    <x v="1"/>
    <x v="0"/>
    <s v="VICENTE TRÁPANI S.A."/>
  </r>
  <r>
    <n v="10"/>
    <x v="4"/>
    <d v="2020-04-22T00:00:00"/>
    <x v="0"/>
    <s v="TU-0009-003"/>
    <s v="TU-0009"/>
    <x v="0"/>
    <x v="0"/>
    <x v="0"/>
    <s v="VICENTE TRÁPANI S.A."/>
  </r>
  <r>
    <n v="11"/>
    <x v="5"/>
    <d v="2020-04-24T00:00:00"/>
    <x v="0"/>
    <s v="TU-0123-009"/>
    <s v="TU-0123"/>
    <x v="0"/>
    <x v="2"/>
    <x v="0"/>
    <s v="S.A. SAN MIGUEL"/>
  </r>
  <r>
    <n v="12"/>
    <x v="6"/>
    <d v="2020-04-27T00:00:00"/>
    <x v="0"/>
    <s v="TU-0426-038"/>
    <s v="TU-0426"/>
    <x v="0"/>
    <x v="1"/>
    <x v="0"/>
    <s v="FRANCISCO E. MUDAD"/>
  </r>
  <r>
    <n v="13"/>
    <x v="7"/>
    <d v="2020-04-28T00:00:00"/>
    <x v="0"/>
    <s v="TU-0558-002"/>
    <s v="TU-0558"/>
    <x v="0"/>
    <x v="0"/>
    <x v="0"/>
    <s v="LATIN LEMON S.A."/>
  </r>
  <r>
    <n v="14"/>
    <x v="7"/>
    <s v="SIN INHABILITACION"/>
    <x v="1"/>
    <s v="TU-0024-038"/>
    <s v="TU-0024"/>
    <x v="0"/>
    <x v="1"/>
    <x v="0"/>
    <s v="CITRUSVIL S.A."/>
  </r>
  <r>
    <n v="15"/>
    <x v="7"/>
    <s v="SIN INHABILITACION"/>
    <x v="1"/>
    <s v="TU-0337-002"/>
    <s v="TU-0337"/>
    <x v="0"/>
    <x v="1"/>
    <x v="0"/>
    <s v="LATIN LEMON S.A."/>
  </r>
  <r>
    <n v="16"/>
    <x v="8"/>
    <d v="2020-04-28T00:00:00"/>
    <x v="0"/>
    <s v="TU-0502-002"/>
    <s v="TU-0502"/>
    <x v="0"/>
    <x v="0"/>
    <x v="0"/>
    <s v="HERECITRUS S.R.L"/>
  </r>
  <r>
    <n v="17"/>
    <x v="8"/>
    <d v="2020-04-28T00:00:00"/>
    <x v="0"/>
    <s v="TU-0009-009"/>
    <s v="TU-0009"/>
    <x v="0"/>
    <x v="0"/>
    <x v="0"/>
    <s v="VICENTE TRÁPANI S.A."/>
  </r>
  <r>
    <n v="18"/>
    <x v="9"/>
    <d v="2020-04-30T00:00:00"/>
    <x v="0"/>
    <s v="TU-0013-001"/>
    <s v="TU-0013"/>
    <x v="0"/>
    <x v="0"/>
    <x v="0"/>
    <s v="MARTÍNEZ NAVARRO S.A."/>
  </r>
  <r>
    <n v="19"/>
    <x v="10"/>
    <d v="2020-04-30T00:00:00"/>
    <x v="0"/>
    <s v="TU-0003-006"/>
    <s v="TU-0003"/>
    <x v="0"/>
    <x v="1"/>
    <x v="0"/>
    <s v="BORMAR S.A."/>
  </r>
  <r>
    <n v="20"/>
    <x v="10"/>
    <d v="2020-04-30T00:00:00"/>
    <x v="0"/>
    <s v="TU-0013-008"/>
    <s v="TU-0013"/>
    <x v="0"/>
    <x v="0"/>
    <x v="0"/>
    <s v="MARTÍNEZ NAVARRO S.A."/>
  </r>
  <r>
    <n v="21"/>
    <x v="10"/>
    <d v="2020-04-30T00:00:00"/>
    <x v="0"/>
    <s v="TU-0018-026"/>
    <s v="TU-0018"/>
    <x v="0"/>
    <x v="1"/>
    <x v="0"/>
    <s v="CITRUSVIL S.A."/>
  </r>
  <r>
    <n v="22"/>
    <x v="10"/>
    <s v="SIN INHABILITACION"/>
    <x v="1"/>
    <s v="TU-0308-010"/>
    <s v="TU-0308"/>
    <x v="0"/>
    <x v="1"/>
    <x v="0"/>
    <s v="JUAN MANUEL ROTTA"/>
  </r>
  <r>
    <n v="23"/>
    <x v="10"/>
    <s v="SIN INHABILITACION"/>
    <x v="1"/>
    <s v="TU-0188-002"/>
    <s v="TU-0188"/>
    <x v="0"/>
    <x v="1"/>
    <x v="0"/>
    <s v="LATIN LEMON S.A."/>
  </r>
  <r>
    <n v="25"/>
    <x v="11"/>
    <d v="2020-05-04T00:00:00"/>
    <x v="0"/>
    <s v="TU-0019-011"/>
    <s v="TU-0019"/>
    <x v="0"/>
    <x v="0"/>
    <x v="0"/>
    <s v="VICENTE TRÁPANI S.A."/>
  </r>
  <r>
    <n v="26"/>
    <x v="11"/>
    <d v="2020-05-05T00:00:00"/>
    <x v="0"/>
    <s v="TU-0325-005"/>
    <s v="TU-0325"/>
    <x v="0"/>
    <x v="1"/>
    <x v="0"/>
    <s v="LATIN LEMON S.A."/>
  </r>
  <r>
    <n v="27"/>
    <x v="11"/>
    <s v="SIN INHABILITACION"/>
    <x v="1"/>
    <s v="TU-0400-008"/>
    <s v="TU-0400"/>
    <x v="0"/>
    <x v="1"/>
    <x v="0"/>
    <s v="ARBOLAR S.A."/>
  </r>
  <r>
    <n v="29"/>
    <x v="12"/>
    <s v="SIN INHABILITACION"/>
    <x v="1"/>
    <s v="TU-0353-040"/>
    <s v="TU-0353"/>
    <x v="0"/>
    <x v="1"/>
    <x v="0"/>
    <s v="S.A. VERACRUZ"/>
  </r>
  <r>
    <n v="30"/>
    <x v="12"/>
    <s v="SIN INHABILITACION"/>
    <x v="1"/>
    <s v="TU-0393-013"/>
    <s v="TU-0393"/>
    <x v="0"/>
    <x v="1"/>
    <x v="0"/>
    <s v="MARTÍNEZ NAVARRO S.A."/>
  </r>
  <r>
    <n v="31"/>
    <x v="13"/>
    <d v="2020-05-05T00:00:00"/>
    <x v="0"/>
    <s v="TU-0388-030"/>
    <s v="TU-0388"/>
    <x v="0"/>
    <x v="1"/>
    <x v="0"/>
    <s v="LATIN LEMON S.A."/>
  </r>
  <r>
    <n v="33"/>
    <x v="14"/>
    <d v="1900-01-06T00:00:00"/>
    <x v="0"/>
    <s v="TU-0034-012"/>
    <s v="TU-0034"/>
    <x v="0"/>
    <x v="1"/>
    <x v="0"/>
    <s v="CITRUSVIL S.A."/>
  </r>
  <r>
    <n v="35"/>
    <x v="15"/>
    <d v="2020-05-07T00:00:00"/>
    <x v="0"/>
    <s v="TU-0201-001"/>
    <s v="TU-0201"/>
    <x v="0"/>
    <x v="0"/>
    <x v="0"/>
    <s v="SAGITARIO EXPORTACIONES S.R.L."/>
  </r>
  <r>
    <n v="36"/>
    <x v="15"/>
    <d v="2020-05-08T00:00:00"/>
    <x v="0"/>
    <s v="TU-0262-052"/>
    <s v="TU-0262"/>
    <x v="0"/>
    <x v="1"/>
    <x v="0"/>
    <s v="S.A. VERACRUZ"/>
  </r>
  <r>
    <n v="37"/>
    <x v="15"/>
    <d v="2020-05-07T00:00:00"/>
    <x v="0"/>
    <s v="TU-0557-001"/>
    <s v="TU-0557"/>
    <x v="0"/>
    <x v="0"/>
    <x v="0"/>
    <s v="S.A. SAN MIGUEL"/>
  </r>
  <r>
    <n v="38"/>
    <x v="15"/>
    <s v="SIN INHABILITACION"/>
    <x v="1"/>
    <s v="TU-0301-028"/>
    <s v="TU-0301"/>
    <x v="0"/>
    <x v="1"/>
    <x v="0"/>
    <s v="HERECITRUS S.R.L"/>
  </r>
  <r>
    <n v="42"/>
    <x v="16"/>
    <d v="2020-05-09T00:00:00"/>
    <x v="0"/>
    <s v="TU-0201-004"/>
    <s v="TU-0201"/>
    <x v="0"/>
    <x v="0"/>
    <x v="0"/>
    <s v="SAGITARIO EXPORTACIONES S.R.L."/>
  </r>
  <r>
    <n v="43"/>
    <x v="16"/>
    <s v="SIN INHABILITACION"/>
    <x v="1"/>
    <s v="TU-0233-009"/>
    <s v="TU-0233"/>
    <x v="0"/>
    <x v="1"/>
    <x v="0"/>
    <s v="DIEGO ZAMORA E HIJO S.R.L."/>
  </r>
  <r>
    <n v="44"/>
    <x v="16"/>
    <d v="2020-05-11T00:00:00"/>
    <x v="0"/>
    <s v="SA-0057-011"/>
    <s v="SA-0057"/>
    <x v="0"/>
    <x v="0"/>
    <x v="0"/>
    <s v="RAMÓN TUMA S.A."/>
  </r>
  <r>
    <n v="45"/>
    <x v="17"/>
    <d v="2020-05-11T00:00:00"/>
    <x v="0"/>
    <s v="TU-0325-003"/>
    <s v="TU-0325"/>
    <x v="0"/>
    <x v="1"/>
    <x v="0"/>
    <s v="LATIN LEMON S.A."/>
  </r>
  <r>
    <n v="46"/>
    <x v="17"/>
    <d v="2020-05-11T00:00:00"/>
    <x v="0"/>
    <s v="TU-0418-026"/>
    <s v="TU-0418"/>
    <x v="0"/>
    <x v="0"/>
    <x v="0"/>
    <s v="LATIN LEMON S.A."/>
  </r>
  <r>
    <n v="47"/>
    <x v="17"/>
    <d v="2020-05-11T00:00:00"/>
    <x v="0"/>
    <s v="TU-0566-003"/>
    <s v="TU-0566"/>
    <x v="0"/>
    <x v="0"/>
    <x v="0"/>
    <s v="LATIN LEMON S.A."/>
  </r>
  <r>
    <n v="48"/>
    <x v="17"/>
    <s v="SIN INHABILITACION"/>
    <x v="1"/>
    <s v="TU-0435-005"/>
    <s v="TU-0435"/>
    <x v="0"/>
    <x v="1"/>
    <x v="0"/>
    <s v="HIJOS DE NORBERTO ESPARZA S.R.L."/>
  </r>
  <r>
    <n v="50"/>
    <x v="18"/>
    <s v="SIN INHABILITACION"/>
    <x v="1"/>
    <s v="TU-0057-003"/>
    <s v="TU-0057"/>
    <x v="0"/>
    <x v="1"/>
    <x v="0"/>
    <s v="CITRUSVIL S.A."/>
  </r>
  <r>
    <n v="53"/>
    <x v="19"/>
    <d v="2020-05-13T00:00:00"/>
    <x v="0"/>
    <s v="TU-0501-005"/>
    <s v="TU-0501"/>
    <x v="0"/>
    <x v="0"/>
    <x v="0"/>
    <s v="SAGITARIO EXPORTACIONES S.R.L."/>
  </r>
  <r>
    <n v="54"/>
    <x v="19"/>
    <d v="2020-05-13T00:00:00"/>
    <x v="0"/>
    <s v="TU-0034-026"/>
    <s v="TU-0034"/>
    <x v="0"/>
    <x v="1"/>
    <x v="0"/>
    <s v="CITRUSVIL S.A."/>
  </r>
  <r>
    <n v="55"/>
    <x v="19"/>
    <d v="2020-05-13T00:00:00"/>
    <x v="0"/>
    <s v="TU-0145-007"/>
    <s v="TU-0145"/>
    <x v="0"/>
    <x v="0"/>
    <x v="0"/>
    <s v="MARTÍNEZ NAVARRO S.A."/>
  </r>
  <r>
    <n v="58"/>
    <x v="20"/>
    <s v="14/50/2020"/>
    <x v="0"/>
    <s v="TU-0023-013"/>
    <s v="TU-0023"/>
    <x v="0"/>
    <x v="0"/>
    <x v="0"/>
    <s v="CITRUSVIL S.A."/>
  </r>
  <r>
    <n v="59"/>
    <x v="20"/>
    <s v="SIN INHABILITACION"/>
    <x v="1"/>
    <s v="TU-0175-005"/>
    <s v="TU-0175"/>
    <x v="0"/>
    <x v="1"/>
    <x v="0"/>
    <s v="LATIN LEMON S.A."/>
  </r>
  <r>
    <n v="61"/>
    <x v="21"/>
    <s v="15/50/2020"/>
    <x v="0"/>
    <s v="TU-0057-008"/>
    <s v="TU-0057"/>
    <x v="0"/>
    <x v="0"/>
    <x v="0"/>
    <s v="CITRUSVIL S.A."/>
  </r>
  <r>
    <n v="62"/>
    <x v="21"/>
    <s v="15/50/2020"/>
    <x v="0"/>
    <s v="TU-0426-018"/>
    <s v="TU-0426"/>
    <x v="0"/>
    <x v="1"/>
    <x v="0"/>
    <s v="FRANCISCO E. MUDAD"/>
  </r>
  <r>
    <n v="63"/>
    <x v="21"/>
    <d v="2020-05-18T00:00:00"/>
    <x v="0"/>
    <s v="TU-0123-004"/>
    <s v="TU-0123"/>
    <x v="0"/>
    <x v="0"/>
    <x v="0"/>
    <s v="CITRUSVIL S.A."/>
  </r>
  <r>
    <n v="64"/>
    <x v="21"/>
    <d v="2020-05-21T00:00:00"/>
    <x v="0"/>
    <s v="SA-0017-012"/>
    <s v="SA-0017"/>
    <x v="0"/>
    <x v="1"/>
    <x v="0"/>
    <s v="LA MORALEJA"/>
  </r>
  <r>
    <n v="65"/>
    <x v="22"/>
    <d v="2020-05-18T00:00:00"/>
    <x v="0"/>
    <s v="TU-0057-004"/>
    <s v="TU-0057"/>
    <x v="0"/>
    <x v="0"/>
    <x v="0"/>
    <s v="CITRUSVIL S.A."/>
  </r>
  <r>
    <n v="66"/>
    <x v="22"/>
    <d v="2020-05-18T00:00:00"/>
    <x v="0"/>
    <s v="TU-0259-023"/>
    <s v="TU-0259"/>
    <x v="0"/>
    <x v="0"/>
    <x v="0"/>
    <s v="LATIN LEMON S.A."/>
  </r>
  <r>
    <n v="68"/>
    <x v="23"/>
    <d v="2020-05-19T00:00:00"/>
    <x v="0"/>
    <s v="TU-0184-002"/>
    <s v="TU-0184"/>
    <x v="0"/>
    <x v="0"/>
    <x v="0"/>
    <s v="HIJOS DE NORBERTO ESPARZA S.R.L."/>
  </r>
  <r>
    <n v="69"/>
    <x v="23"/>
    <d v="2020-05-19T00:00:00"/>
    <x v="0"/>
    <s v="TU-0184-007"/>
    <s v="TU-0184"/>
    <x v="0"/>
    <x v="0"/>
    <x v="0"/>
    <s v="HIJOS DE NORBERTO ESPARZA S.R.L."/>
  </r>
  <r>
    <n v="70"/>
    <x v="23"/>
    <d v="2020-05-19T00:00:00"/>
    <x v="0"/>
    <s v="TU-0184-003"/>
    <s v="TU-0184"/>
    <x v="0"/>
    <x v="0"/>
    <x v="0"/>
    <s v="HIJOS DE NORBERTO ESPARZA S.R.L."/>
  </r>
  <r>
    <n v="71"/>
    <x v="23"/>
    <d v="2020-05-19T00:00:00"/>
    <x v="0"/>
    <s v="TU-0184-006"/>
    <s v="TU-0184"/>
    <x v="0"/>
    <x v="0"/>
    <x v="0"/>
    <s v="HIJOS DE NORBERTO ESPARZA S.R.L."/>
  </r>
  <r>
    <n v="72"/>
    <x v="23"/>
    <d v="2020-05-19T00:00:00"/>
    <x v="0"/>
    <s v="TU-0184-008"/>
    <s v="TU-0184"/>
    <x v="0"/>
    <x v="0"/>
    <x v="0"/>
    <s v="HIJOS DE NORBERTO ESPARZA S.R.L."/>
  </r>
  <r>
    <n v="74"/>
    <x v="24"/>
    <s v="SIN INHABILITACION"/>
    <x v="1"/>
    <s v="TU-0077-003"/>
    <s v="TU-0077"/>
    <x v="0"/>
    <x v="1"/>
    <x v="0"/>
    <s v="JUAN CARLOS CALCERANO"/>
  </r>
  <r>
    <n v="75"/>
    <x v="24"/>
    <s v="SIN INHABILITACION"/>
    <x v="1"/>
    <s v="TU-0472-005"/>
    <s v="TU-0472"/>
    <x v="0"/>
    <x v="1"/>
    <x v="0"/>
    <s v="LATIN LEMON S.A."/>
  </r>
  <r>
    <n v="76"/>
    <x v="24"/>
    <s v="SIN INHABILITACION"/>
    <x v="1"/>
    <s v="TU-0182-009"/>
    <s v="TU-0182"/>
    <x v="0"/>
    <x v="1"/>
    <x v="0"/>
    <s v="ARGENTILEMON"/>
  </r>
  <r>
    <n v="77"/>
    <x v="24"/>
    <s v="SIN INHABILITACION"/>
    <x v="1"/>
    <s v="TU-0016-003"/>
    <s v="TU-0016"/>
    <x v="0"/>
    <x v="1"/>
    <x v="0"/>
    <s v="LATIN LEMON S.A."/>
  </r>
  <r>
    <n v="78"/>
    <x v="25"/>
    <d v="2020-05-20T00:00:00"/>
    <x v="0"/>
    <s v="TU-0356-002"/>
    <s v="TU-0356"/>
    <x v="0"/>
    <x v="0"/>
    <x v="0"/>
    <s v="S.A. VERACRUZ"/>
  </r>
  <r>
    <n v="79"/>
    <x v="25"/>
    <s v="SIN INHABILITACION"/>
    <x v="1"/>
    <s v="TU-0409-009"/>
    <s v="TU-0409"/>
    <x v="0"/>
    <x v="1"/>
    <x v="0"/>
    <s v="LAPACHO AMARILLO S.A."/>
  </r>
  <r>
    <n v="80"/>
    <x v="25"/>
    <d v="2020-05-20T00:00:00"/>
    <x v="0"/>
    <s v="TU-0034-028"/>
    <s v="TU-0034"/>
    <x v="0"/>
    <x v="1"/>
    <x v="0"/>
    <s v="CITRUSVIL"/>
  </r>
  <r>
    <n v="81"/>
    <x v="25"/>
    <d v="2020-05-21T00:00:00"/>
    <x v="0"/>
    <s v="TU-0023-009"/>
    <s v="TU-0023"/>
    <x v="0"/>
    <x v="0"/>
    <x v="0"/>
    <s v="CITRUSVIL"/>
  </r>
  <r>
    <n v="82"/>
    <x v="25"/>
    <s v="SIN INHABILITACION"/>
    <x v="1"/>
    <s v="TU-0276-006"/>
    <s v="TU-0276"/>
    <x v="0"/>
    <x v="1"/>
    <x v="0"/>
    <s v="ARBOLAR"/>
  </r>
  <r>
    <n v="88"/>
    <x v="26"/>
    <d v="2020-05-22T00:00:00"/>
    <x v="1"/>
    <s v="TU-0128-006"/>
    <s v="TU-0128"/>
    <x v="0"/>
    <x v="0"/>
    <x v="0"/>
    <s v="IGNACIO TRAPANI"/>
  </r>
  <r>
    <n v="89"/>
    <x v="26"/>
    <d v="2020-05-22T00:00:00"/>
    <x v="1"/>
    <s v="JU-0026-010"/>
    <s v="JU-0026"/>
    <x v="0"/>
    <x v="0"/>
    <x v="0"/>
    <s v="LEDESMA"/>
  </r>
  <r>
    <n v="90"/>
    <x v="26"/>
    <d v="2020-05-26T00:00:00"/>
    <x v="0"/>
    <s v="TU-0349-002"/>
    <s v="TU-0349"/>
    <x v="0"/>
    <x v="0"/>
    <x v="0"/>
    <s v="LATIN LEMON S.A."/>
  </r>
  <r>
    <n v="97"/>
    <x v="27"/>
    <d v="2020-05-26T00:00:00"/>
    <x v="0"/>
    <s v="TU-0183-001"/>
    <s v="TU-0183"/>
    <x v="0"/>
    <x v="0"/>
    <x v="0"/>
    <s v="HIJOS DE NORBERTO ESPARZA S.R.L."/>
  </r>
  <r>
    <n v="98"/>
    <x v="27"/>
    <d v="2020-05-26T00:00:00"/>
    <x v="0"/>
    <s v="TU-0360-001"/>
    <s v="TU-0360"/>
    <x v="0"/>
    <x v="0"/>
    <x v="0"/>
    <s v="HERECITRUS"/>
  </r>
  <r>
    <n v="99"/>
    <x v="27"/>
    <s v="SIN INHABILITACION"/>
    <x v="1"/>
    <s v="TU-0584-001"/>
    <s v="TU-0584"/>
    <x v="0"/>
    <x v="1"/>
    <x v="0"/>
    <s v="VICENTE TRAPANI"/>
  </r>
  <r>
    <n v="103"/>
    <x v="28"/>
    <d v="2020-05-27T00:00:00"/>
    <x v="1"/>
    <s v="TU-0262-020"/>
    <s v="TU-0262"/>
    <x v="0"/>
    <x v="1"/>
    <x v="0"/>
    <s v="S.A. VERACRUZ"/>
  </r>
  <r>
    <n v="104"/>
    <x v="28"/>
    <d v="2020-05-27T00:00:00"/>
    <x v="1"/>
    <s v="JU-0026-013"/>
    <s v="JU-0026"/>
    <x v="0"/>
    <x v="0"/>
    <x v="0"/>
    <s v="LEDESMA"/>
  </r>
  <r>
    <n v="105"/>
    <x v="28"/>
    <d v="2020-05-27T00:00:00"/>
    <x v="1"/>
    <s v="TU-0034-047"/>
    <s v="TU-0034"/>
    <x v="0"/>
    <x v="0"/>
    <x v="0"/>
    <s v="CITRUSVIL"/>
  </r>
  <r>
    <n v="107"/>
    <x v="29"/>
    <d v="2020-05-28T00:00:00"/>
    <x v="1"/>
    <s v="TU-0201-007"/>
    <s v="TU-0201"/>
    <x v="0"/>
    <x v="0"/>
    <x v="0"/>
    <s v="NIDEPLUS"/>
  </r>
  <r>
    <n v="108"/>
    <x v="29"/>
    <d v="2020-05-28T00:00:00"/>
    <x v="1"/>
    <s v="TU-0450-008"/>
    <s v="TU-0450"/>
    <x v="0"/>
    <x v="0"/>
    <x v="0"/>
    <s v="CITRUSVIL"/>
  </r>
  <r>
    <n v="109"/>
    <x v="29"/>
    <d v="2020-05-28T00:00:00"/>
    <x v="1"/>
    <s v="TU-0353-013"/>
    <s v="TU-0353"/>
    <x v="0"/>
    <x v="1"/>
    <x v="0"/>
    <s v="S.A. VERACRUZ"/>
  </r>
  <r>
    <n v="110"/>
    <x v="30"/>
    <s v="SIN INHABILITACION"/>
    <x v="1"/>
    <s v="TU-0436-003"/>
    <s v="TU-0436"/>
    <x v="0"/>
    <x v="1"/>
    <x v="0"/>
    <s v="CITROMAX"/>
  </r>
  <r>
    <n v="111"/>
    <x v="30"/>
    <s v="SIN INHABILITACION"/>
    <x v="1"/>
    <s v="TU-0163-001"/>
    <s v="TU-0163"/>
    <x v="0"/>
    <x v="1"/>
    <x v="0"/>
    <s v="LATIN LEMON S.A."/>
  </r>
  <r>
    <n v="112"/>
    <x v="31"/>
    <d v="2020-05-31T00:00:00"/>
    <x v="0"/>
    <s v="TU-0185-008"/>
    <s v="TU-0185"/>
    <x v="0"/>
    <x v="0"/>
    <x v="0"/>
    <s v="SAGITARIO EXPORTACIONES"/>
  </r>
  <r>
    <n v="113"/>
    <x v="31"/>
    <d v="2020-05-31T00:00:00"/>
    <x v="0"/>
    <s v="TU-063-002"/>
    <s v="TU-0063"/>
    <x v="0"/>
    <x v="0"/>
    <x v="0"/>
    <s v=" "/>
  </r>
  <r>
    <n v="114"/>
    <x v="32"/>
    <d v="2020-05-29T00:00:00"/>
    <x v="0"/>
    <s v="JU-0026-007"/>
    <s v="JU-0026"/>
    <x v="0"/>
    <x v="0"/>
    <x v="0"/>
    <s v="LEDESMA S.A.A.I."/>
  </r>
  <r>
    <n v="115"/>
    <x v="32"/>
    <s v="SIN INHABILITACION"/>
    <x v="1"/>
    <s v="TU-0486-002"/>
    <s v="TU-0486"/>
    <x v="0"/>
    <x v="1"/>
    <x v="0"/>
    <s v="CITROMAX SACI"/>
  </r>
  <r>
    <n v="116"/>
    <x v="32"/>
    <d v="2020-05-29T00:00:00"/>
    <x v="0"/>
    <s v="TU-0342-018"/>
    <s v="TU-0342"/>
    <x v="0"/>
    <x v="0"/>
    <x v="0"/>
    <s v="CITRUSVIL"/>
  </r>
  <r>
    <n v="117"/>
    <x v="32"/>
    <d v="2020-05-29T00:00:00"/>
    <x v="0"/>
    <s v="TU-0584-007"/>
    <s v="TU-0584"/>
    <x v="0"/>
    <x v="0"/>
    <x v="0"/>
    <s v="VICENTE TRÁPANI S.A."/>
  </r>
  <r>
    <n v="118"/>
    <x v="32"/>
    <d v="2020-05-29T00:00:00"/>
    <x v="0"/>
    <s v="TU-0544-004"/>
    <s v="TU-0544"/>
    <x v="0"/>
    <x v="0"/>
    <x v="0"/>
    <s v="SAGITARIO EXPORTACIONES"/>
  </r>
  <r>
    <n v="119"/>
    <x v="32"/>
    <d v="2020-06-01T00:00:00"/>
    <x v="0"/>
    <s v="TU-0561-002"/>
    <s v="TU-0561"/>
    <x v="0"/>
    <x v="1"/>
    <x v="0"/>
    <s v="LATIN LEMON S.A."/>
  </r>
  <r>
    <n v="120"/>
    <x v="33"/>
    <d v="2020-06-02T00:00:00"/>
    <x v="0"/>
    <s v="TU-0034-046"/>
    <s v="TU-0034"/>
    <x v="0"/>
    <x v="0"/>
    <x v="0"/>
    <s v="CITRUSVIL"/>
  </r>
  <r>
    <n v="121"/>
    <x v="33"/>
    <s v="SIN INHABILITACION"/>
    <x v="1"/>
    <s v="TU-0305-003"/>
    <s v="TU-0305"/>
    <x v="0"/>
    <x v="1"/>
    <x v="0"/>
    <s v="SAGITARIO EXPORTACIONES"/>
  </r>
  <r>
    <n v="122"/>
    <x v="33"/>
    <s v="SIN INHABILITACION"/>
    <x v="1"/>
    <s v="TU-0160-002"/>
    <s v="TU-0160"/>
    <x v="0"/>
    <x v="1"/>
    <x v="0"/>
    <s v="LATIN LEMON S.A."/>
  </r>
  <r>
    <n v="124"/>
    <x v="34"/>
    <d v="2020-06-02T00:00:00"/>
    <x v="0"/>
    <s v="TU-0085-001"/>
    <s v="TU-0085"/>
    <x v="0"/>
    <x v="0"/>
    <x v="0"/>
    <s v="JUAN CARLOS CALCERANO"/>
  </r>
  <r>
    <n v="125"/>
    <x v="34"/>
    <d v="2020-06-02T00:00:00"/>
    <x v="0"/>
    <s v="TU-0040-010"/>
    <s v="TU-0040"/>
    <x v="0"/>
    <x v="0"/>
    <x v="0"/>
    <s v="CITRUSVIL"/>
  </r>
  <r>
    <n v="126"/>
    <x v="34"/>
    <d v="2020-06-03T00:00:00"/>
    <x v="0"/>
    <s v="TU-0035-26"/>
    <s v="TU-0035"/>
    <x v="0"/>
    <x v="0"/>
    <x v="0"/>
    <s v="CITRUSVIL"/>
  </r>
  <r>
    <n v="129"/>
    <x v="35"/>
    <d v="2020-06-04T00:00:00"/>
    <x v="0"/>
    <s v="TU-0393-010"/>
    <s v="TU-0393"/>
    <x v="0"/>
    <x v="1"/>
    <x v="0"/>
    <s v="MARTINEZ NAVARRO"/>
  </r>
  <r>
    <n v="130"/>
    <x v="35"/>
    <s v="SIN INHABILITACION"/>
    <x v="1"/>
    <s v="TU-0266-010"/>
    <s v="TU-0266"/>
    <x v="0"/>
    <x v="1"/>
    <x v="0"/>
    <s v="CITROMAX SACI"/>
  </r>
  <r>
    <n v="131"/>
    <x v="35"/>
    <d v="2020-06-01T00:00:00"/>
    <x v="0"/>
    <s v="TU-0040-009"/>
    <s v="TU-0040"/>
    <x v="0"/>
    <x v="0"/>
    <x v="0"/>
    <s v="CITRUSVIL"/>
  </r>
  <r>
    <n v="132"/>
    <x v="35"/>
    <d v="2020-06-04T00:00:00"/>
    <x v="0"/>
    <s v="TU-0160-001"/>
    <s v="TU-0160"/>
    <x v="0"/>
    <x v="1"/>
    <x v="0"/>
    <s v="LATIN LEMON S.A."/>
  </r>
  <r>
    <n v="133"/>
    <x v="35"/>
    <s v="SIN INHABILITACION"/>
    <x v="1"/>
    <s v="TU-0563-004"/>
    <s v="TU-0563"/>
    <x v="0"/>
    <x v="1"/>
    <x v="0"/>
    <s v="SAN MIGUEL"/>
  </r>
  <r>
    <n v="136"/>
    <x v="36"/>
    <d v="2020-06-04T00:00:00"/>
    <x v="0"/>
    <s v="TU-0354-020"/>
    <s v="TU-0354"/>
    <x v="0"/>
    <x v="1"/>
    <x v="0"/>
    <s v="VERACRUZ"/>
  </r>
  <r>
    <n v="137"/>
    <x v="36"/>
    <d v="2020-06-04T00:00:00"/>
    <x v="0"/>
    <s v="TU-0563-005"/>
    <s v="TU-0563"/>
    <x v="0"/>
    <x v="1"/>
    <x v="0"/>
    <s v="LATIN LEMON S.A."/>
  </r>
  <r>
    <n v="140"/>
    <x v="37"/>
    <s v="a la espera de lab"/>
    <x v="1"/>
    <s v="TU-0559-006"/>
    <s v="TU-0559"/>
    <x v="0"/>
    <x v="0"/>
    <x v="0"/>
    <s v="LATIN LEMON S.A."/>
  </r>
  <r>
    <n v="141"/>
    <x v="37"/>
    <d v="2020-06-07T00:00:00"/>
    <x v="0"/>
    <s v="TU-0430-007"/>
    <s v="TU-0430"/>
    <x v="0"/>
    <x v="0"/>
    <x v="0"/>
    <s v="CITRUSVIL"/>
  </r>
  <r>
    <n v="142"/>
    <x v="37"/>
    <d v="2020-06-07T00:00:00"/>
    <x v="0"/>
    <s v="TU-0062-011"/>
    <s v="TU-0062"/>
    <x v="0"/>
    <x v="0"/>
    <x v="0"/>
    <s v="VICENTE TRÁPANI S.A."/>
  </r>
  <r>
    <n v="143"/>
    <x v="37"/>
    <s v="SIN INHABILITACION"/>
    <x v="1"/>
    <s v="TU-0199-010"/>
    <s v="TU-0199"/>
    <x v="0"/>
    <x v="1"/>
    <x v="0"/>
    <s v="SAGITARIO EXPORTACIONES"/>
  </r>
  <r>
    <n v="144"/>
    <x v="37"/>
    <d v="2020-06-07T00:00:00"/>
    <x v="0"/>
    <s v="TU-0024-037"/>
    <s v="TU-0024"/>
    <x v="0"/>
    <x v="1"/>
    <x v="0"/>
    <s v="CITRUSVIL"/>
  </r>
  <r>
    <n v="145"/>
    <x v="37"/>
    <d v="2020-06-07T00:00:00"/>
    <x v="0"/>
    <s v="TU-0036-029"/>
    <s v="TU-0036"/>
    <x v="0"/>
    <x v="0"/>
    <x v="0"/>
    <s v="CITRUSVIL"/>
  </r>
  <r>
    <n v="148"/>
    <x v="38"/>
    <d v="2020-06-08T00:00:00"/>
    <x v="1"/>
    <s v="TU-0023-014"/>
    <s v="TU-0023"/>
    <x v="0"/>
    <x v="0"/>
    <x v="0"/>
    <s v="CITRUSVIL"/>
  </r>
  <r>
    <n v="149"/>
    <x v="38"/>
    <s v="SIN INHABILITACION"/>
    <x v="1"/>
    <s v="TU-0429-005"/>
    <s v="TU-0429"/>
    <x v="0"/>
    <x v="1"/>
    <x v="0"/>
    <s v="CITRUSVIL"/>
  </r>
  <r>
    <n v="150"/>
    <x v="38"/>
    <d v="2020-06-08T00:00:00"/>
    <x v="0"/>
    <s v="TU-0063-004"/>
    <s v="TU-0063"/>
    <x v="0"/>
    <x v="0"/>
    <x v="0"/>
    <s v="VICENTE TRÁPANI S.A."/>
  </r>
  <r>
    <n v="151"/>
    <x v="38"/>
    <d v="2020-06-08T00:00:00"/>
    <x v="0"/>
    <s v="TU-0036-027"/>
    <s v="TU-0036"/>
    <x v="0"/>
    <x v="0"/>
    <x v="0"/>
    <s v="CITRUSVIL"/>
  </r>
  <r>
    <n v="153"/>
    <x v="39"/>
    <d v="2020-06-09T00:00:00"/>
    <x v="0"/>
    <s v="TU-0160-011"/>
    <s v="TU-0160"/>
    <x v="0"/>
    <x v="0"/>
    <x v="0"/>
    <s v="LATIN LEMON "/>
  </r>
  <r>
    <n v="154"/>
    <x v="39"/>
    <d v="2020-06-09T00:00:00"/>
    <x v="0"/>
    <s v="TU-0410-005"/>
    <s v="TU-0410"/>
    <x v="0"/>
    <x v="0"/>
    <x v="0"/>
    <s v="NIDEPLUS"/>
  </r>
  <r>
    <n v="155"/>
    <x v="39"/>
    <d v="2020-06-09T00:00:00"/>
    <x v="0"/>
    <s v="TU-0180-001"/>
    <s v="TU-0180"/>
    <x v="0"/>
    <x v="0"/>
    <x v="0"/>
    <s v="JUAN CARLOS CALCERANO "/>
  </r>
  <r>
    <n v="156"/>
    <x v="39"/>
    <s v="SIN INHABILITACION"/>
    <x v="1"/>
    <s v="TU-0327-007"/>
    <s v="TU-0327"/>
    <x v="0"/>
    <x v="1"/>
    <x v="0"/>
    <s v="AGROPECUARIA EL SAUCE "/>
  </r>
  <r>
    <n v="157"/>
    <x v="40"/>
    <d v="2020-06-10T00:00:00"/>
    <x v="0"/>
    <s v="TU-0563-006"/>
    <s v="TU-0563"/>
    <x v="0"/>
    <x v="1"/>
    <x v="0"/>
    <s v="LATIN LEMON "/>
  </r>
  <r>
    <n v="159"/>
    <x v="41"/>
    <d v="2020-06-10T00:00:00"/>
    <x v="0"/>
    <s v="TU-0272-004"/>
    <s v="TU-0272"/>
    <x v="0"/>
    <x v="0"/>
    <x v="0"/>
    <s v="JUAN CARLOS CALCERANO "/>
  </r>
  <r>
    <n v="160"/>
    <x v="41"/>
    <s v="SIN INHABILITACION"/>
    <x v="1"/>
    <s v="TU-0253-002"/>
    <s v="TU-0235"/>
    <x v="0"/>
    <x v="1"/>
    <x v="0"/>
    <s v="JUAN CARLOS CALCERANO "/>
  </r>
  <r>
    <n v="161"/>
    <x v="42"/>
    <d v="2020-06-12T00:00:00"/>
    <x v="0"/>
    <s v="TU-0308-003"/>
    <s v="TU-0308"/>
    <x v="0"/>
    <x v="1"/>
    <x v="0"/>
    <s v="LATIN LEMON "/>
  </r>
  <r>
    <n v="162"/>
    <x v="43"/>
    <d v="2020-06-12T00:00:00"/>
    <x v="0"/>
    <s v="TU-0410-001"/>
    <s v="TU-0410"/>
    <x v="0"/>
    <x v="0"/>
    <x v="0"/>
    <s v="MARTINEZ NAVARRO"/>
  </r>
  <r>
    <n v="163"/>
    <x v="43"/>
    <d v="2020-06-12T00:00:00"/>
    <x v="0"/>
    <s v="TU-0200-010"/>
    <s v="TU-0200"/>
    <x v="0"/>
    <x v="0"/>
    <x v="0"/>
    <s v="MARTINEZ NAVARRO"/>
  </r>
  <r>
    <n v="164"/>
    <x v="43"/>
    <d v="2020-06-12T00:00:00"/>
    <x v="0"/>
    <s v="TU-0354-027"/>
    <s v="TU-0354"/>
    <x v="0"/>
    <x v="1"/>
    <x v="0"/>
    <s v="VERACRUZ"/>
  </r>
  <r>
    <n v="167"/>
    <x v="44"/>
    <d v="2020-06-16T00:00:00"/>
    <x v="0"/>
    <s v="TU-0036-026"/>
    <s v="TU-0036"/>
    <x v="0"/>
    <x v="1"/>
    <x v="0"/>
    <s v="CITRUSVIL - ischilon"/>
  </r>
  <r>
    <n v="168"/>
    <x v="44"/>
    <s v="SIN INHABILITACION"/>
    <x v="1"/>
    <s v="TU-0332-013"/>
    <s v="TU-0332"/>
    <x v="0"/>
    <x v="1"/>
    <x v="0"/>
    <s v="TRAPANI HNOS"/>
  </r>
  <r>
    <n v="170"/>
    <x v="45"/>
    <d v="2020-06-18T00:00:00"/>
    <x v="0"/>
    <s v="TU-0020-042"/>
    <s v="TU-0020"/>
    <x v="0"/>
    <x v="0"/>
    <x v="0"/>
    <s v="VICENTE TRÁPANI S.A."/>
  </r>
  <r>
    <n v="171"/>
    <x v="45"/>
    <s v="SIN INHABILITACION"/>
    <x v="1"/>
    <s v="TU-0177-020"/>
    <s v="TU-0177"/>
    <x v="0"/>
    <x v="1"/>
    <x v="0"/>
    <s v="AGOALIANZA"/>
  </r>
  <r>
    <n v="172"/>
    <x v="45"/>
    <s v="SIN INHABILITACION"/>
    <x v="1"/>
    <s v="TU-0610-002"/>
    <s v="TU-0610"/>
    <x v="0"/>
    <x v="1"/>
    <x v="0"/>
    <s v="ACEQUIONES"/>
  </r>
  <r>
    <n v="173"/>
    <x v="45"/>
    <d v="2020-06-18T00:00:00"/>
    <x v="0"/>
    <s v="TU-0199-002"/>
    <s v="TU-0199"/>
    <x v="0"/>
    <x v="0"/>
    <x v="0"/>
    <s v="SAGITARIO EXPORTACIONES"/>
  </r>
  <r>
    <n v="174"/>
    <x v="45"/>
    <s v="SIN INHABILITACION"/>
    <x v="1"/>
    <s v="TU-0172-009"/>
    <s v="TU-0172"/>
    <x v="0"/>
    <x v="1"/>
    <x v="0"/>
    <s v="LATIN LEMON "/>
  </r>
  <r>
    <n v="176"/>
    <x v="46"/>
    <d v="2020-06-18T00:00:00"/>
    <x v="0"/>
    <s v="TU-0170-005"/>
    <s v="TU-0170"/>
    <x v="0"/>
    <x v="0"/>
    <x v="0"/>
    <s v="LATIN LEMON "/>
  </r>
  <r>
    <n v="177"/>
    <x v="46"/>
    <d v="2020-06-18T00:00:00"/>
    <x v="0"/>
    <s v="TU-0170-005"/>
    <s v="TU-0170"/>
    <x v="0"/>
    <x v="1"/>
    <x v="0"/>
    <s v="LATIN LEMON "/>
  </r>
  <r>
    <n v="178"/>
    <x v="47"/>
    <d v="2020-06-19T00:00:00"/>
    <x v="0"/>
    <s v="TU-0431-006"/>
    <s v="TU-0431"/>
    <x v="0"/>
    <x v="1"/>
    <x v="0"/>
    <s v="JABULISA"/>
  </r>
  <r>
    <n v="179"/>
    <x v="48"/>
    <d v="2020-06-19T00:00:00"/>
    <x v="1"/>
    <s v="TU-0393-005"/>
    <s v="TU-0393"/>
    <x v="0"/>
    <x v="0"/>
    <x v="0"/>
    <s v="MARTINEZ NAVARRO"/>
  </r>
  <r>
    <n v="180"/>
    <x v="48"/>
    <d v="2020-06-19T00:00:00"/>
    <x v="1"/>
    <s v="TU-0393-005"/>
    <s v="TU-0393"/>
    <x v="0"/>
    <x v="1"/>
    <x v="0"/>
    <s v="MARTINEZ NAVARRO"/>
  </r>
  <r>
    <n v="181"/>
    <x v="48"/>
    <d v="2020-06-19T00:00:00"/>
    <x v="0"/>
    <s v="TU-0024-041"/>
    <s v="TU-0020"/>
    <x v="0"/>
    <x v="0"/>
    <x v="0"/>
    <s v="CITRUSVIL"/>
  </r>
  <r>
    <n v="182"/>
    <x v="48"/>
    <d v="2020-06-19T00:00:00"/>
    <x v="0"/>
    <s v="TU-0034-057"/>
    <s v="TU-0034"/>
    <x v="0"/>
    <x v="0"/>
    <x v="0"/>
    <s v="CITRUSVIL"/>
  </r>
  <r>
    <n v="183"/>
    <x v="48"/>
    <d v="2020-06-19T00:00:00"/>
    <x v="0"/>
    <s v="TU-0033-007"/>
    <s v="TU-0033"/>
    <x v="0"/>
    <x v="0"/>
    <x v="0"/>
    <s v="CITRUSVIL"/>
  </r>
  <r>
    <n v="184"/>
    <x v="48"/>
    <d v="2020-06-19T00:00:00"/>
    <x v="0"/>
    <s v="TU-0048-010"/>
    <s v="TU-0048"/>
    <x v="0"/>
    <x v="0"/>
    <x v="0"/>
    <s v="CITRUSVIL"/>
  </r>
  <r>
    <n v="186"/>
    <x v="49"/>
    <d v="2020-06-23T00:00:00"/>
    <x v="0"/>
    <s v="TU-0045-001"/>
    <s v="TU-0045"/>
    <x v="0"/>
    <x v="0"/>
    <x v="0"/>
    <s v="CITROMAX S.A.C.I"/>
  </r>
  <r>
    <n v="187"/>
    <x v="49"/>
    <d v="2020-06-23T00:00:00"/>
    <x v="0"/>
    <s v="TU-0034-048"/>
    <s v="TU-0034"/>
    <x v="0"/>
    <x v="0"/>
    <x v="0"/>
    <s v="CITRUSVIL"/>
  </r>
  <r>
    <n v="188"/>
    <x v="49"/>
    <d v="2020-06-23T00:00:00"/>
    <x v="0"/>
    <s v="TU-0034-049"/>
    <s v="TU-0034"/>
    <x v="0"/>
    <x v="0"/>
    <x v="0"/>
    <s v="CITRUSVIL"/>
  </r>
  <r>
    <m/>
    <x v="49"/>
    <d v="2020-06-23T00:00:00"/>
    <x v="0"/>
    <s v="TU-0023-015"/>
    <s v="TU-0023"/>
    <x v="0"/>
    <x v="0"/>
    <x v="0"/>
    <s v="CITRUSVIL"/>
  </r>
  <r>
    <n v="189"/>
    <x v="49"/>
    <d v="2020-06-23T00:00:00"/>
    <x v="0"/>
    <s v="TU0048-001"/>
    <s v="TU-0048"/>
    <x v="0"/>
    <x v="0"/>
    <x v="0"/>
    <s v="CITRUSVIL"/>
  </r>
  <r>
    <m/>
    <x v="49"/>
    <d v="2020-06-23T00:00:00"/>
    <x v="0"/>
    <s v="TU-0033-001"/>
    <s v="TU-0033"/>
    <x v="0"/>
    <x v="0"/>
    <x v="0"/>
    <s v="CITRUSVIL"/>
  </r>
  <r>
    <n v="190"/>
    <x v="49"/>
    <d v="2020-06-23T00:00:00"/>
    <x v="0"/>
    <s v="TU0034-044"/>
    <s v="TU-0034"/>
    <x v="0"/>
    <x v="0"/>
    <x v="0"/>
    <s v="CITRUSVIL"/>
  </r>
  <r>
    <n v="191"/>
    <x v="49"/>
    <d v="2020-06-23T00:00:00"/>
    <x v="0"/>
    <s v="TU-0036-024"/>
    <s v="TU-0036"/>
    <x v="0"/>
    <x v="0"/>
    <x v="0"/>
    <s v="CITRUSVIL"/>
  </r>
  <r>
    <n v="192"/>
    <x v="49"/>
    <d v="2020-06-23T00:00:00"/>
    <x v="0"/>
    <s v="TU-0024-039"/>
    <s v="TU-0024"/>
    <x v="0"/>
    <x v="0"/>
    <x v="0"/>
    <s v="CITRUSVIL"/>
  </r>
  <r>
    <n v="193"/>
    <x v="49"/>
    <d v="2020-06-23T00:00:00"/>
    <x v="0"/>
    <s v="TU-0024-039"/>
    <s v="TU-0024"/>
    <x v="0"/>
    <x v="1"/>
    <x v="0"/>
    <s v="CITRUSVIL"/>
  </r>
  <r>
    <n v="196"/>
    <x v="50"/>
    <d v="2020-06-24T00:00:00"/>
    <x v="0"/>
    <s v="TU-0449-011"/>
    <s v="TU-0449"/>
    <x v="0"/>
    <x v="0"/>
    <x v="0"/>
    <s v="SAGITARIO EXPORTACIONES"/>
  </r>
  <r>
    <n v="197"/>
    <x v="50"/>
    <d v="2020-06-23T00:00:00"/>
    <x v="0"/>
    <s v="TU-0042-002"/>
    <s v="TU-0042"/>
    <x v="0"/>
    <x v="0"/>
    <x v="0"/>
    <s v="CITRUSVIL "/>
  </r>
  <r>
    <n v="198"/>
    <x v="50"/>
    <d v="2020-06-23T00:00:00"/>
    <x v="0"/>
    <s v="TU-0024-042"/>
    <s v="TU-0024"/>
    <x v="0"/>
    <x v="0"/>
    <x v="0"/>
    <s v="CITRUSVIL"/>
  </r>
  <r>
    <n v="199"/>
    <x v="50"/>
    <d v="2020-06-23T00:00:00"/>
    <x v="0"/>
    <s v="TU-0034-045"/>
    <s v="TU-0034"/>
    <x v="0"/>
    <x v="0"/>
    <x v="0"/>
    <s v="CITRUSVIL"/>
  </r>
  <r>
    <n v="200"/>
    <x v="50"/>
    <d v="2020-06-23T00:00:00"/>
    <x v="0"/>
    <s v="TU-0038-006"/>
    <s v="TU-0038"/>
    <x v="0"/>
    <x v="0"/>
    <x v="0"/>
    <s v="CITRUSVIL"/>
  </r>
  <r>
    <n v="201"/>
    <x v="50"/>
    <d v="2020-06-23T00:00:00"/>
    <x v="0"/>
    <s v="TU-0032-006"/>
    <s v="TU-0032"/>
    <x v="0"/>
    <x v="0"/>
    <x v="0"/>
    <s v="CITRUSVIL"/>
  </r>
  <r>
    <n v="202"/>
    <x v="50"/>
    <d v="2020-06-23T00:00:00"/>
    <x v="0"/>
    <s v="TU-0056-004"/>
    <s v="TU-0056"/>
    <x v="0"/>
    <x v="0"/>
    <x v="0"/>
    <s v="CITRUSVIL"/>
  </r>
  <r>
    <n v="203"/>
    <x v="50"/>
    <s v="SIN INHABILITACION"/>
    <x v="1"/>
    <s v="TU-0048-008"/>
    <s v="TU-0048"/>
    <x v="0"/>
    <x v="1"/>
    <x v="0"/>
    <s v="CITRUSVIL"/>
  </r>
  <r>
    <m/>
    <x v="50"/>
    <d v="2020-06-24T00:00:00"/>
    <x v="0"/>
    <s v="TU-0315-004"/>
    <s v="TU-0315"/>
    <x v="0"/>
    <x v="0"/>
    <x v="0"/>
    <s v="LIMOZAN S.A."/>
  </r>
  <r>
    <n v="204"/>
    <x v="51"/>
    <d v="2020-06-23T00:00:00"/>
    <x v="0"/>
    <s v="TU-0034-040"/>
    <s v="TU-0034"/>
    <x v="0"/>
    <x v="0"/>
    <x v="0"/>
    <s v="CITRUSVIL"/>
  </r>
  <r>
    <n v="205"/>
    <x v="51"/>
    <s v="SIN INHABILITACION"/>
    <x v="1"/>
    <s v="TU-0481-010"/>
    <s v="TU-0481"/>
    <x v="0"/>
    <x v="1"/>
    <x v="0"/>
    <s v="CITRUSVIL"/>
  </r>
  <r>
    <n v="206"/>
    <x v="51"/>
    <d v="2020-06-23T00:00:00"/>
    <x v="0"/>
    <s v="TU-0042-004"/>
    <s v="TU-0042"/>
    <x v="0"/>
    <x v="0"/>
    <x v="0"/>
    <s v="CITRUSVIL"/>
  </r>
  <r>
    <n v="208"/>
    <x v="52"/>
    <s v="SIN INHABILITACION"/>
    <x v="1"/>
    <s v="TU-0380-013"/>
    <s v="TU-0380"/>
    <x v="0"/>
    <x v="1"/>
    <x v="0"/>
    <s v="CITROMAX S.A.C.I"/>
  </r>
  <r>
    <n v="209"/>
    <x v="52"/>
    <d v="2020-06-25T00:00:00"/>
    <x v="0"/>
    <s v="TU-0380-013"/>
    <s v="TU-0380"/>
    <x v="0"/>
    <x v="0"/>
    <x v="0"/>
    <s v="CITROMAX S.A.C.I"/>
  </r>
  <r>
    <n v="210"/>
    <x v="52"/>
    <s v="SIN INHABILITACION"/>
    <x v="1"/>
    <s v="TU-0365-003"/>
    <s v="TU-0365"/>
    <x v="0"/>
    <x v="1"/>
    <x v="0"/>
    <s v="ARGENTI LEMON S.A."/>
  </r>
  <r>
    <n v="211"/>
    <x v="52"/>
    <s v="SIN INHABILITACION"/>
    <x v="1"/>
    <s v="TU-0046-001"/>
    <s v="TU-0046"/>
    <x v="0"/>
    <x v="1"/>
    <x v="0"/>
    <s v="HIJOS DE NORBERTO ESPARZA"/>
  </r>
  <r>
    <n v="212"/>
    <x v="52"/>
    <d v="2020-06-25T00:00:00"/>
    <x v="0"/>
    <s v="TU-0500-002"/>
    <s v="TU-0500"/>
    <x v="0"/>
    <x v="1"/>
    <x v="0"/>
    <s v="SAGITARIO EXPORTACIONES"/>
  </r>
  <r>
    <m/>
    <x v="53"/>
    <d v="2020-07-02T00:00:00"/>
    <x v="0"/>
    <s v="TU-0185-020"/>
    <s v="TU-0185"/>
    <x v="0"/>
    <x v="0"/>
    <x v="0"/>
    <s v="SAGITARIO EXPORTACIONES"/>
  </r>
  <r>
    <n v="217"/>
    <x v="54"/>
    <s v="SIN INHABILITACION"/>
    <x v="1"/>
    <s v="TU-0566-002"/>
    <s v="TU-0566"/>
    <x v="0"/>
    <x v="1"/>
    <x v="0"/>
    <s v="LATIN LEMON "/>
  </r>
  <r>
    <n v="218"/>
    <x v="54"/>
    <d v="2020-07-02T00:00:00"/>
    <x v="0"/>
    <s v="TU-0448-009"/>
    <s v="TU-0448"/>
    <x v="0"/>
    <x v="0"/>
    <x v="0"/>
    <s v="ACEQUIONES"/>
  </r>
  <r>
    <n v="219"/>
    <x v="54"/>
    <d v="2020-07-02T00:00:00"/>
    <x v="0"/>
    <s v="TU-0298-017"/>
    <s v="TU-0298"/>
    <x v="0"/>
    <x v="1"/>
    <x v="0"/>
    <s v="HERECITRUS"/>
  </r>
  <r>
    <n v="221"/>
    <x v="55"/>
    <d v="2020-07-13T00:00:00"/>
    <x v="0"/>
    <s v="TU-0163-016"/>
    <s v="TU-0163"/>
    <x v="0"/>
    <x v="1"/>
    <x v="0"/>
    <s v="LATIN LEMON "/>
  </r>
  <r>
    <n v="222"/>
    <x v="55"/>
    <s v="SIN INHABILITACION"/>
    <x v="1"/>
    <s v="TU-0164-004"/>
    <s v="TU-0164"/>
    <x v="0"/>
    <x v="1"/>
    <x v="0"/>
    <s v="LATIN LEMON "/>
  </r>
  <r>
    <n v="224"/>
    <x v="56"/>
    <d v="2020-07-14T00:00:00"/>
    <x v="1"/>
    <s v="TU-0035-040"/>
    <s v="TU-0035"/>
    <x v="0"/>
    <x v="1"/>
    <x v="0"/>
    <s v="CITRUSVIL"/>
  </r>
  <r>
    <n v="225"/>
    <x v="57"/>
    <s v="SIN INHABILITACION"/>
    <x v="2"/>
    <s v="JU-0026-005"/>
    <s v="JU-0026"/>
    <x v="1"/>
    <x v="0"/>
    <x v="0"/>
    <s v="LEDESMA "/>
  </r>
  <r>
    <n v="226"/>
    <x v="57"/>
    <s v="SIN INHABILITACION"/>
    <x v="2"/>
    <s v="JU-0026-006"/>
    <s v="JU-0026"/>
    <x v="1"/>
    <x v="0"/>
    <x v="0"/>
    <s v="LEDESMA "/>
  </r>
  <r>
    <n v="227"/>
    <x v="58"/>
    <d v="2020-07-15T00:00:00"/>
    <x v="1"/>
    <s v="SA-0022-008"/>
    <s v="SA-0022"/>
    <x v="1"/>
    <x v="0"/>
    <x v="0"/>
    <s v="HIJOS DE JOSE GOMEZ MARTINEZ"/>
  </r>
  <r>
    <n v="228"/>
    <x v="59"/>
    <d v="2020-07-15T00:00:00"/>
    <x v="1"/>
    <s v="JU-0021-017"/>
    <s v="JU-0021"/>
    <x v="1"/>
    <x v="0"/>
    <x v="0"/>
    <s v="HIJOS DE JOSE GOMEZ MARTINEZ"/>
  </r>
  <r>
    <n v="231"/>
    <x v="60"/>
    <s v="SIN INHABILITACION"/>
    <x v="1"/>
    <s v="JU-0026-005"/>
    <s v="JU-0026"/>
    <x v="1"/>
    <x v="0"/>
    <x v="0"/>
    <s v="LEDESMA "/>
  </r>
  <r>
    <n v="232"/>
    <x v="60"/>
    <d v="2020-07-16T00:00:00"/>
    <x v="0"/>
    <s v="TU-0036-001"/>
    <s v="TU-0036"/>
    <x v="0"/>
    <x v="1"/>
    <x v="0"/>
    <s v="CITRUSVIL "/>
  </r>
  <r>
    <n v="233"/>
    <x v="61"/>
    <d v="2020-07-22T00:00:00"/>
    <x v="0"/>
    <s v="TU-0024-035"/>
    <s v="TU-0024"/>
    <x v="0"/>
    <x v="1"/>
    <x v="0"/>
    <s v="CITRUSVIL "/>
  </r>
  <r>
    <n v="234"/>
    <x v="62"/>
    <d v="2020-07-22T00:00:00"/>
    <x v="0"/>
    <s v="TU-0431-005"/>
    <s v="TU-0431"/>
    <x v="0"/>
    <x v="1"/>
    <x v="0"/>
    <s v="LATIN LEMON "/>
  </r>
  <r>
    <n v="235"/>
    <x v="63"/>
    <d v="2020-07-22T00:00:00"/>
    <x v="1"/>
    <s v="JU-0049-003"/>
    <s v="JU-0049"/>
    <x v="1"/>
    <x v="0"/>
    <x v="0"/>
    <s v="LEDESMA "/>
  </r>
  <r>
    <n v="236"/>
    <x v="64"/>
    <d v="2020-07-23T00:00:00"/>
    <x v="0"/>
    <s v="SA-0022-12"/>
    <s v="SA-0022"/>
    <x v="1"/>
    <x v="0"/>
    <x v="0"/>
    <s v="HIJOS DE JOSE GOMEZ MARTINEZ"/>
  </r>
  <r>
    <n v="237"/>
    <x v="64"/>
    <d v="2020-07-23T00:00:00"/>
    <x v="0"/>
    <s v="TU-0262-040"/>
    <s v="TU-0262"/>
    <x v="0"/>
    <x v="1"/>
    <x v="0"/>
    <s v="S.A. VERACRUZ"/>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2"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B19:F24" firstHeaderRow="1" firstDataRow="2" firstDataCol="1" rowPageCount="1" colPageCount="1"/>
  <pivotFields count="10">
    <pivotField showAll="0"/>
    <pivotField axis="axisPage" numFmtId="14" multipleItemSelectionAllowed="1"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axis="axisCol" dataField="1" showAll="0">
      <items count="4">
        <item n="BLOQ" x="1"/>
        <item n="EVEN" x="2"/>
        <item n="INHAB" x="0"/>
        <item t="default"/>
      </items>
    </pivotField>
    <pivotField showAll="0"/>
    <pivotField showAll="0"/>
    <pivotField showAll="0"/>
    <pivotField axis="axisRow" showAll="0">
      <items count="4">
        <item x="1"/>
        <item n="MANCHA " x="0"/>
        <item x="2"/>
        <item t="default"/>
      </items>
    </pivotField>
    <pivotField showAll="0"/>
    <pivotField showAll="0"/>
  </pivotFields>
  <rowFields count="1">
    <field x="7"/>
  </rowFields>
  <rowItems count="4">
    <i>
      <x/>
    </i>
    <i>
      <x v="1"/>
    </i>
    <i>
      <x v="2"/>
    </i>
    <i t="grand">
      <x/>
    </i>
  </rowItems>
  <colFields count="1">
    <field x="3"/>
  </colFields>
  <colItems count="4">
    <i>
      <x/>
    </i>
    <i>
      <x v="1"/>
    </i>
    <i>
      <x v="2"/>
    </i>
    <i t="grand">
      <x/>
    </i>
  </colItems>
  <pageFields count="1">
    <pageField fld="1" hier="-1"/>
  </pageFields>
  <dataFields count="1">
    <dataField name="Cuenta de SITUACION" fld="3" subtotal="count" baseField="0" baseItem="0"/>
  </dataFields>
  <formats count="15">
    <format dxfId="14">
      <pivotArea dataOnly="0" labelOnly="1" grandCol="1" outline="0" fieldPosition="0"/>
    </format>
    <format dxfId="13">
      <pivotArea dataOnly="0" labelOnly="1" grandCol="1" outline="0" fieldPosition="0"/>
    </format>
    <format dxfId="12">
      <pivotArea dataOnly="0" labelOnly="1" grandCol="1" outline="0" fieldPosition="0"/>
    </format>
    <format dxfId="11">
      <pivotArea dataOnly="0" labelOnly="1" grandCol="1" outline="0" fieldPosition="0"/>
    </format>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 dxfId="7">
      <pivotArea outline="0" collapsedLevelsAreSubtotals="1" fieldPosition="0"/>
    </format>
    <format dxfId="6">
      <pivotArea dataOnly="0" labelOnly="1" fieldPosition="0">
        <references count="1">
          <reference field="3" count="0"/>
        </references>
      </pivotArea>
    </format>
    <format dxfId="5">
      <pivotArea dataOnly="0" labelOnly="1" grandCol="1" outline="0" fieldPosition="0"/>
    </format>
    <format dxfId="4">
      <pivotArea type="all" dataOnly="0" outline="0" fieldPosition="0"/>
    </format>
    <format dxfId="3">
      <pivotArea grandCol="1" outline="0" collapsedLevelsAreSubtotals="1" fieldPosition="0"/>
    </format>
    <format dxfId="2">
      <pivotArea dataOnly="0" labelOnly="1" grandCol="1" outline="0" fieldPosition="0"/>
    </format>
    <format dxfId="1">
      <pivotArea collapsedLevelsAreSubtotals="1" fieldPosition="0">
        <references count="2">
          <reference field="3" count="1" selected="0">
            <x v="2"/>
          </reference>
          <reference field="7" count="1">
            <x v="1"/>
          </reference>
        </references>
      </pivotArea>
    </format>
    <format dxfId="0">
      <pivotArea dataOnly="0" labelOnly="1" fieldPosition="0">
        <references count="1">
          <reference field="7"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4:M79"/>
  <sheetViews>
    <sheetView showGridLines="0" tabSelected="1" topLeftCell="A13" zoomScale="90" zoomScaleNormal="90" workbookViewId="0">
      <selection activeCell="G19" sqref="G19"/>
    </sheetView>
  </sheetViews>
  <sheetFormatPr baseColWidth="10" defaultRowHeight="18.75" x14ac:dyDescent="0.3"/>
  <cols>
    <col min="1" max="1" width="3.28515625" customWidth="1"/>
    <col min="2" max="2" width="34.85546875" style="275" customWidth="1"/>
    <col min="3" max="3" width="19.42578125" style="275" customWidth="1"/>
    <col min="4" max="4" width="16.85546875" style="275" customWidth="1"/>
    <col min="5" max="5" width="18.42578125" style="275" bestFit="1" customWidth="1"/>
    <col min="6" max="6" width="18.28515625" style="275" customWidth="1"/>
    <col min="7" max="7" width="22" style="275" customWidth="1"/>
    <col min="8" max="8" width="15.28515625" style="275" bestFit="1" customWidth="1"/>
    <col min="9" max="9" width="21.5703125" style="275" customWidth="1"/>
    <col min="10" max="12" width="15" style="2" bestFit="1" customWidth="1"/>
    <col min="13" max="13" width="11.42578125" style="2"/>
  </cols>
  <sheetData>
    <row r="4" spans="2:10" ht="19.5" thickBot="1" x14ac:dyDescent="0.35"/>
    <row r="5" spans="2:10" ht="19.5" thickBot="1" x14ac:dyDescent="0.35">
      <c r="B5" s="276"/>
      <c r="C5" s="322" t="s">
        <v>169</v>
      </c>
      <c r="D5" s="323"/>
      <c r="E5" s="323"/>
      <c r="F5" s="323"/>
      <c r="G5" s="324"/>
      <c r="H5" s="277"/>
      <c r="I5" s="278"/>
    </row>
    <row r="6" spans="2:10" ht="7.5" customHeight="1" x14ac:dyDescent="0.3">
      <c r="B6" s="279"/>
      <c r="C6" s="279"/>
      <c r="D6" s="279"/>
      <c r="E6" s="279"/>
      <c r="F6" s="280"/>
      <c r="G6" s="279"/>
      <c r="H6" s="279"/>
      <c r="I6" s="279"/>
    </row>
    <row r="7" spans="2:10" x14ac:dyDescent="0.3">
      <c r="B7" s="281"/>
      <c r="C7" s="318" t="s">
        <v>0</v>
      </c>
      <c r="D7" s="319"/>
      <c r="E7" s="319"/>
      <c r="F7" s="320"/>
      <c r="G7" s="321" t="s">
        <v>45</v>
      </c>
    </row>
    <row r="8" spans="2:10" ht="19.5" thickBot="1" x14ac:dyDescent="0.35">
      <c r="B8" s="282"/>
      <c r="C8" s="318"/>
      <c r="D8" s="319"/>
      <c r="E8" s="319"/>
      <c r="F8" s="320"/>
      <c r="G8" s="321"/>
    </row>
    <row r="9" spans="2:10" x14ac:dyDescent="0.3">
      <c r="B9" s="283" t="s">
        <v>1</v>
      </c>
      <c r="C9" s="284" t="s">
        <v>2</v>
      </c>
      <c r="D9" s="284" t="s">
        <v>3</v>
      </c>
      <c r="E9" s="284" t="s">
        <v>5</v>
      </c>
      <c r="F9" s="284" t="s">
        <v>4</v>
      </c>
      <c r="G9" s="285" t="s">
        <v>6</v>
      </c>
    </row>
    <row r="10" spans="2:10" x14ac:dyDescent="0.3">
      <c r="B10" s="286" t="s">
        <v>7</v>
      </c>
      <c r="C10" s="287">
        <v>34.019999999999996</v>
      </c>
      <c r="D10" s="287"/>
      <c r="E10" s="287">
        <v>20.8</v>
      </c>
      <c r="F10" s="287">
        <v>3068.8009999999999</v>
      </c>
      <c r="G10" s="288">
        <f>SUM(C10:F10)</f>
        <v>3123.6210000000001</v>
      </c>
    </row>
    <row r="11" spans="2:10" x14ac:dyDescent="0.3">
      <c r="B11" s="289" t="s">
        <v>8</v>
      </c>
      <c r="C11" s="290">
        <v>20.004000000000001</v>
      </c>
      <c r="D11" s="290"/>
      <c r="E11" s="290">
        <v>8</v>
      </c>
      <c r="F11" s="290">
        <v>1865.5639999999999</v>
      </c>
      <c r="G11" s="288">
        <f t="shared" ref="G11:G18" si="0">SUM(C11:F11)</f>
        <v>1893.5679999999998</v>
      </c>
      <c r="J11" s="9"/>
    </row>
    <row r="12" spans="2:10" x14ac:dyDescent="0.3">
      <c r="B12" s="286" t="s">
        <v>9</v>
      </c>
      <c r="C12" s="287">
        <v>1737.1500000000008</v>
      </c>
      <c r="D12" s="287">
        <v>13.620000000000001</v>
      </c>
      <c r="E12" s="287">
        <v>301.16000000000003</v>
      </c>
      <c r="F12" s="287">
        <v>3029.4879999999998</v>
      </c>
      <c r="G12" s="288">
        <f t="shared" si="0"/>
        <v>5081.4180000000006</v>
      </c>
      <c r="J12" s="9"/>
    </row>
    <row r="13" spans="2:10" x14ac:dyDescent="0.3">
      <c r="B13" s="289" t="s">
        <v>10</v>
      </c>
      <c r="C13" s="290">
        <v>13022.533200000013</v>
      </c>
      <c r="D13" s="290"/>
      <c r="E13" s="290">
        <v>1613.2720000000013</v>
      </c>
      <c r="F13" s="290">
        <v>1406.0060000000001</v>
      </c>
      <c r="G13" s="288">
        <f t="shared" si="0"/>
        <v>16041.811200000013</v>
      </c>
    </row>
    <row r="14" spans="2:10" x14ac:dyDescent="0.3">
      <c r="B14" s="286" t="s">
        <v>11</v>
      </c>
      <c r="C14" s="287">
        <v>29170.760399999985</v>
      </c>
      <c r="D14" s="287">
        <v>80.175000000000011</v>
      </c>
      <c r="E14" s="287">
        <v>7167.3015999999907</v>
      </c>
      <c r="F14" s="287">
        <v>2087.0555000000004</v>
      </c>
      <c r="G14" s="288">
        <f t="shared" si="0"/>
        <v>38505.292499999974</v>
      </c>
    </row>
    <row r="15" spans="2:10" x14ac:dyDescent="0.3">
      <c r="B15" s="289" t="s">
        <v>44</v>
      </c>
      <c r="C15" s="290">
        <v>70925.565231999804</v>
      </c>
      <c r="D15" s="290">
        <v>201.5</v>
      </c>
      <c r="E15" s="290">
        <v>11253.196789999987</v>
      </c>
      <c r="F15" s="290">
        <v>5192.2499999999982</v>
      </c>
      <c r="G15" s="288">
        <f t="shared" si="0"/>
        <v>87572.512021999792</v>
      </c>
    </row>
    <row r="16" spans="2:10" x14ac:dyDescent="0.3">
      <c r="B16" s="286" t="s">
        <v>116</v>
      </c>
      <c r="C16" s="287">
        <v>75065.775087997696</v>
      </c>
      <c r="D16" s="287">
        <v>106.68</v>
      </c>
      <c r="E16" s="287">
        <v>7951.3369999999568</v>
      </c>
      <c r="F16" s="287">
        <v>11234.191000000008</v>
      </c>
      <c r="G16" s="288">
        <f t="shared" si="0"/>
        <v>94357.983087997651</v>
      </c>
    </row>
    <row r="17" spans="2:13" x14ac:dyDescent="0.3">
      <c r="B17" s="289" t="s">
        <v>165</v>
      </c>
      <c r="C17" s="290">
        <v>65611.439921998841</v>
      </c>
      <c r="D17" s="290">
        <v>93.857500000000002</v>
      </c>
      <c r="E17" s="290">
        <v>10095.042999999969</v>
      </c>
      <c r="F17" s="290">
        <v>23676.868000000057</v>
      </c>
      <c r="G17" s="288">
        <f t="shared" si="0"/>
        <v>99477.208421998876</v>
      </c>
    </row>
    <row r="18" spans="2:13" ht="19.5" thickBot="1" x14ac:dyDescent="0.35">
      <c r="B18" s="286" t="s">
        <v>168</v>
      </c>
      <c r="C18" s="287">
        <v>6248.6930000000166</v>
      </c>
      <c r="D18" s="287">
        <v>109.95</v>
      </c>
      <c r="E18" s="287">
        <v>3236.9099999999949</v>
      </c>
      <c r="F18" s="287">
        <v>9030.5879999999815</v>
      </c>
      <c r="G18" s="288">
        <f t="shared" si="0"/>
        <v>18626.140999999992</v>
      </c>
    </row>
    <row r="19" spans="2:13" ht="19.5" thickBot="1" x14ac:dyDescent="0.35">
      <c r="B19" s="291" t="s">
        <v>170</v>
      </c>
      <c r="C19" s="292">
        <f>SUM(C10:C18)</f>
        <v>261835.94084199634</v>
      </c>
      <c r="D19" s="292">
        <f>SUM(D10:D18)</f>
        <v>605.78250000000003</v>
      </c>
      <c r="E19" s="292">
        <f>SUM(E10:E18)</f>
        <v>41647.020389999896</v>
      </c>
      <c r="F19" s="292">
        <f>SUM(F10:F18)</f>
        <v>60590.811500000047</v>
      </c>
      <c r="G19" s="293">
        <f>SUM(G10:G18)</f>
        <v>364679.55523199629</v>
      </c>
    </row>
    <row r="20" spans="2:13" x14ac:dyDescent="0.3">
      <c r="B20" s="286" t="s">
        <v>12</v>
      </c>
      <c r="C20" s="294">
        <f>C19/G19</f>
        <v>0.71798908681739926</v>
      </c>
      <c r="D20" s="294">
        <f>D19/G19</f>
        <v>1.6611364451583324E-3</v>
      </c>
      <c r="E20" s="294">
        <f>E19/G19</f>
        <v>0.11420168691251564</v>
      </c>
      <c r="F20" s="294">
        <f>F19/G19</f>
        <v>0.16614808982492674</v>
      </c>
      <c r="G20" s="295">
        <f>SUM(C20:F20)</f>
        <v>1</v>
      </c>
    </row>
    <row r="22" spans="2:13" ht="17.25" x14ac:dyDescent="0.3">
      <c r="J22"/>
      <c r="K22"/>
      <c r="L22"/>
      <c r="M22"/>
    </row>
    <row r="23" spans="2:13" ht="17.25" x14ac:dyDescent="0.3">
      <c r="J23"/>
      <c r="K23"/>
      <c r="L23"/>
      <c r="M23"/>
    </row>
    <row r="24" spans="2:13" ht="17.25" x14ac:dyDescent="0.3">
      <c r="E24" s="296"/>
      <c r="F24" s="297"/>
      <c r="J24"/>
      <c r="K24"/>
      <c r="L24"/>
      <c r="M24"/>
    </row>
    <row r="25" spans="2:13" ht="17.25" x14ac:dyDescent="0.3">
      <c r="J25"/>
      <c r="K25"/>
      <c r="L25"/>
      <c r="M25"/>
    </row>
    <row r="26" spans="2:13" ht="17.25" x14ac:dyDescent="0.3">
      <c r="B26" s="298"/>
      <c r="C26" s="298"/>
      <c r="J26"/>
      <c r="K26"/>
      <c r="L26"/>
      <c r="M26"/>
    </row>
    <row r="27" spans="2:13" ht="15" customHeight="1" x14ac:dyDescent="0.3">
      <c r="B27" s="298"/>
      <c r="C27" s="298"/>
      <c r="J27"/>
      <c r="K27"/>
      <c r="L27"/>
      <c r="M27"/>
    </row>
    <row r="28" spans="2:13" ht="17.25" x14ac:dyDescent="0.3">
      <c r="B28" s="298"/>
      <c r="C28" s="298"/>
      <c r="J28"/>
      <c r="K28"/>
      <c r="L28"/>
      <c r="M28"/>
    </row>
    <row r="29" spans="2:13" ht="17.25" x14ac:dyDescent="0.3">
      <c r="B29" s="299"/>
      <c r="C29" s="298"/>
      <c r="J29"/>
      <c r="K29"/>
      <c r="L29"/>
      <c r="M29"/>
    </row>
    <row r="30" spans="2:13" ht="17.25" x14ac:dyDescent="0.3">
      <c r="B30" s="298"/>
      <c r="C30" s="298"/>
      <c r="J30"/>
      <c r="K30"/>
      <c r="L30"/>
      <c r="M30"/>
    </row>
    <row r="31" spans="2:13" ht="17.25" x14ac:dyDescent="0.3">
      <c r="B31" s="298"/>
      <c r="C31" s="298"/>
      <c r="J31"/>
      <c r="K31"/>
      <c r="L31"/>
      <c r="M31"/>
    </row>
    <row r="32" spans="2:13" ht="17.25" x14ac:dyDescent="0.3">
      <c r="B32" s="298"/>
      <c r="C32" s="300"/>
      <c r="J32"/>
      <c r="K32"/>
      <c r="L32"/>
      <c r="M32"/>
    </row>
    <row r="33" spans="2:13" ht="17.25" x14ac:dyDescent="0.3">
      <c r="B33" s="300"/>
      <c r="C33" s="298"/>
      <c r="J33"/>
      <c r="K33"/>
      <c r="L33"/>
      <c r="M33"/>
    </row>
    <row r="34" spans="2:13" ht="17.25" x14ac:dyDescent="0.3">
      <c r="B34" s="298"/>
      <c r="C34" s="298"/>
      <c r="J34"/>
      <c r="K34"/>
      <c r="L34"/>
      <c r="M34"/>
    </row>
    <row r="35" spans="2:13" ht="17.25" x14ac:dyDescent="0.3">
      <c r="B35" s="298"/>
      <c r="C35" s="298"/>
      <c r="J35"/>
      <c r="K35"/>
      <c r="L35"/>
      <c r="M35"/>
    </row>
    <row r="36" spans="2:13" ht="17.25" x14ac:dyDescent="0.3">
      <c r="B36" s="298"/>
      <c r="C36" s="298"/>
      <c r="J36"/>
      <c r="K36"/>
      <c r="L36"/>
      <c r="M36"/>
    </row>
    <row r="37" spans="2:13" ht="17.25" x14ac:dyDescent="0.3">
      <c r="B37" s="275" t="s">
        <v>49</v>
      </c>
      <c r="J37"/>
      <c r="K37"/>
      <c r="L37"/>
      <c r="M37"/>
    </row>
    <row r="38" spans="2:13" ht="17.25" x14ac:dyDescent="0.3">
      <c r="J38"/>
      <c r="K38"/>
      <c r="L38"/>
      <c r="M38"/>
    </row>
    <row r="39" spans="2:13" ht="17.25" x14ac:dyDescent="0.3">
      <c r="J39"/>
      <c r="K39"/>
      <c r="L39"/>
      <c r="M39"/>
    </row>
    <row r="40" spans="2:13" ht="17.25" x14ac:dyDescent="0.3">
      <c r="J40"/>
      <c r="K40"/>
      <c r="L40"/>
      <c r="M40"/>
    </row>
    <row r="41" spans="2:13" ht="17.25" x14ac:dyDescent="0.3">
      <c r="J41"/>
      <c r="K41"/>
      <c r="L41"/>
      <c r="M41"/>
    </row>
    <row r="42" spans="2:13" ht="17.25" x14ac:dyDescent="0.3">
      <c r="J42"/>
      <c r="K42"/>
      <c r="L42"/>
      <c r="M42"/>
    </row>
    <row r="43" spans="2:13" ht="17.25" x14ac:dyDescent="0.3">
      <c r="J43"/>
      <c r="K43"/>
      <c r="L43"/>
      <c r="M43"/>
    </row>
    <row r="44" spans="2:13" ht="17.25" x14ac:dyDescent="0.3">
      <c r="J44"/>
      <c r="K44"/>
      <c r="L44"/>
      <c r="M44"/>
    </row>
    <row r="45" spans="2:13" ht="17.25" x14ac:dyDescent="0.3">
      <c r="J45"/>
      <c r="K45"/>
      <c r="L45"/>
      <c r="M45"/>
    </row>
    <row r="46" spans="2:13" ht="17.25" x14ac:dyDescent="0.3">
      <c r="J46"/>
      <c r="K46"/>
      <c r="L46"/>
      <c r="M46"/>
    </row>
    <row r="47" spans="2:13" ht="17.25" x14ac:dyDescent="0.3">
      <c r="J47"/>
      <c r="K47"/>
      <c r="L47"/>
      <c r="M47"/>
    </row>
    <row r="48" spans="2:13" ht="17.25" x14ac:dyDescent="0.3">
      <c r="J48"/>
      <c r="K48"/>
      <c r="L48"/>
      <c r="M48"/>
    </row>
    <row r="49" spans="10:13" ht="17.25" x14ac:dyDescent="0.3">
      <c r="J49"/>
      <c r="K49"/>
      <c r="L49"/>
      <c r="M49"/>
    </row>
    <row r="50" spans="10:13" ht="17.25" x14ac:dyDescent="0.3">
      <c r="J50"/>
      <c r="K50"/>
      <c r="L50"/>
      <c r="M50"/>
    </row>
    <row r="51" spans="10:13" ht="17.25" x14ac:dyDescent="0.3">
      <c r="J51"/>
      <c r="K51"/>
      <c r="L51"/>
      <c r="M51"/>
    </row>
    <row r="52" spans="10:13" ht="17.25" x14ac:dyDescent="0.3">
      <c r="J52"/>
      <c r="K52"/>
      <c r="L52"/>
      <c r="M52"/>
    </row>
    <row r="53" spans="10:13" ht="17.25" x14ac:dyDescent="0.3">
      <c r="J53"/>
      <c r="K53"/>
      <c r="L53"/>
      <c r="M53"/>
    </row>
    <row r="54" spans="10:13" ht="18.75" customHeight="1" x14ac:dyDescent="0.3">
      <c r="J54"/>
      <c r="K54"/>
      <c r="L54"/>
      <c r="M54"/>
    </row>
    <row r="55" spans="10:13" ht="17.25" x14ac:dyDescent="0.3">
      <c r="J55"/>
      <c r="K55"/>
      <c r="L55"/>
      <c r="M55"/>
    </row>
    <row r="56" spans="10:13" ht="17.25" x14ac:dyDescent="0.3">
      <c r="J56"/>
      <c r="K56"/>
      <c r="L56"/>
      <c r="M56"/>
    </row>
    <row r="57" spans="10:13" ht="17.25" x14ac:dyDescent="0.3">
      <c r="J57"/>
      <c r="K57"/>
      <c r="L57"/>
      <c r="M57"/>
    </row>
    <row r="58" spans="10:13" ht="17.25" x14ac:dyDescent="0.3">
      <c r="J58"/>
      <c r="K58"/>
      <c r="L58"/>
      <c r="M58"/>
    </row>
    <row r="59" spans="10:13" ht="17.25" x14ac:dyDescent="0.3">
      <c r="J59"/>
      <c r="K59"/>
      <c r="L59"/>
      <c r="M59"/>
    </row>
    <row r="60" spans="10:13" ht="17.25" x14ac:dyDescent="0.3">
      <c r="J60"/>
      <c r="K60"/>
      <c r="L60"/>
      <c r="M60"/>
    </row>
    <row r="61" spans="10:13" ht="17.25" x14ac:dyDescent="0.3">
      <c r="J61"/>
      <c r="K61"/>
      <c r="L61"/>
      <c r="M61"/>
    </row>
    <row r="62" spans="10:13" ht="17.25" x14ac:dyDescent="0.3">
      <c r="J62"/>
      <c r="K62"/>
      <c r="L62"/>
      <c r="M62"/>
    </row>
    <row r="63" spans="10:13" ht="17.25" x14ac:dyDescent="0.3">
      <c r="J63"/>
      <c r="K63"/>
      <c r="L63"/>
      <c r="M63"/>
    </row>
    <row r="64" spans="10:13" ht="17.25" x14ac:dyDescent="0.3">
      <c r="J64"/>
      <c r="K64"/>
      <c r="L64"/>
      <c r="M64"/>
    </row>
    <row r="65" spans="10:13" ht="17.25" x14ac:dyDescent="0.3">
      <c r="J65"/>
      <c r="K65"/>
      <c r="L65"/>
      <c r="M65"/>
    </row>
    <row r="66" spans="10:13" ht="17.25" x14ac:dyDescent="0.3">
      <c r="J66"/>
      <c r="K66"/>
      <c r="L66"/>
      <c r="M66"/>
    </row>
    <row r="67" spans="10:13" ht="17.25" x14ac:dyDescent="0.3">
      <c r="J67"/>
      <c r="K67"/>
      <c r="L67"/>
      <c r="M67"/>
    </row>
    <row r="68" spans="10:13" ht="17.25" x14ac:dyDescent="0.3">
      <c r="J68"/>
      <c r="K68"/>
      <c r="L68"/>
      <c r="M68"/>
    </row>
    <row r="69" spans="10:13" ht="17.25" x14ac:dyDescent="0.3">
      <c r="J69"/>
      <c r="K69"/>
      <c r="L69"/>
      <c r="M69"/>
    </row>
    <row r="70" spans="10:13" ht="17.25" x14ac:dyDescent="0.3">
      <c r="J70"/>
      <c r="K70"/>
      <c r="L70"/>
      <c r="M70"/>
    </row>
    <row r="71" spans="10:13" ht="17.25" x14ac:dyDescent="0.3">
      <c r="J71"/>
      <c r="K71"/>
      <c r="L71"/>
      <c r="M71"/>
    </row>
    <row r="72" spans="10:13" ht="17.25" x14ac:dyDescent="0.3">
      <c r="J72"/>
      <c r="K72"/>
      <c r="L72"/>
      <c r="M72"/>
    </row>
    <row r="73" spans="10:13" ht="17.25" x14ac:dyDescent="0.3">
      <c r="J73"/>
      <c r="K73"/>
      <c r="L73"/>
      <c r="M73"/>
    </row>
    <row r="74" spans="10:13" ht="17.25" x14ac:dyDescent="0.3">
      <c r="J74"/>
      <c r="K74"/>
      <c r="L74"/>
      <c r="M74"/>
    </row>
    <row r="75" spans="10:13" ht="17.25" x14ac:dyDescent="0.3">
      <c r="J75"/>
      <c r="K75"/>
      <c r="L75"/>
      <c r="M75"/>
    </row>
    <row r="76" spans="10:13" ht="17.25" x14ac:dyDescent="0.3">
      <c r="J76"/>
      <c r="K76"/>
      <c r="L76"/>
      <c r="M76"/>
    </row>
    <row r="77" spans="10:13" ht="17.25" x14ac:dyDescent="0.3">
      <c r="J77"/>
      <c r="K77"/>
      <c r="L77"/>
      <c r="M77"/>
    </row>
    <row r="78" spans="10:13" ht="17.25" x14ac:dyDescent="0.3">
      <c r="J78"/>
      <c r="K78"/>
      <c r="L78"/>
      <c r="M78"/>
    </row>
    <row r="79" spans="10:13" ht="17.25" x14ac:dyDescent="0.3">
      <c r="J79"/>
      <c r="K79"/>
      <c r="L79"/>
      <c r="M79"/>
    </row>
  </sheetData>
  <mergeCells count="3">
    <mergeCell ref="C7:F8"/>
    <mergeCell ref="G7:G8"/>
    <mergeCell ref="C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O26"/>
  <sheetViews>
    <sheetView showGridLines="0" zoomScale="80" zoomScaleNormal="80" workbookViewId="0">
      <selection activeCell="H5" sqref="H5:J6"/>
    </sheetView>
  </sheetViews>
  <sheetFormatPr baseColWidth="10" defaultRowHeight="15.75" x14ac:dyDescent="0.25"/>
  <cols>
    <col min="1" max="1" width="7.28515625" customWidth="1"/>
    <col min="2" max="2" width="29" style="13" customWidth="1"/>
    <col min="3" max="4" width="27.42578125" style="13" bestFit="1" customWidth="1"/>
    <col min="5" max="5" width="19.28515625" style="13" customWidth="1"/>
    <col min="6" max="6" width="16" style="13" customWidth="1"/>
    <col min="7" max="7" width="16.42578125" style="13" customWidth="1"/>
    <col min="8" max="10" width="11.42578125" style="13"/>
    <col min="11" max="11" width="16.140625" style="13" customWidth="1"/>
    <col min="12" max="12" width="19" style="13" customWidth="1"/>
    <col min="13" max="13" width="15.85546875" style="13" customWidth="1"/>
    <col min="14" max="15" width="11.42578125" style="13"/>
  </cols>
  <sheetData>
    <row r="2" spans="2:13" ht="18.75" x14ac:dyDescent="0.3">
      <c r="B2" s="24"/>
      <c r="C2" s="24"/>
      <c r="D2" s="1"/>
      <c r="E2" s="1"/>
      <c r="F2" s="1"/>
      <c r="G2" s="1"/>
      <c r="H2" s="5" t="s">
        <v>50</v>
      </c>
      <c r="I2" s="6">
        <v>36</v>
      </c>
      <c r="J2" s="325" t="s">
        <v>173</v>
      </c>
      <c r="K2" s="325"/>
      <c r="L2" s="2"/>
      <c r="M2" s="2"/>
    </row>
    <row r="3" spans="2:13" ht="18.75" x14ac:dyDescent="0.3">
      <c r="B3" s="10"/>
      <c r="C3" s="10"/>
      <c r="D3" s="7"/>
      <c r="E3" s="7"/>
      <c r="F3" s="7"/>
      <c r="G3" s="7"/>
      <c r="H3" s="8" t="s">
        <v>24</v>
      </c>
      <c r="I3" s="7"/>
      <c r="J3" s="7"/>
      <c r="K3" s="7"/>
      <c r="L3" s="2"/>
      <c r="M3" s="2"/>
    </row>
    <row r="4" spans="2:13" ht="18.75" x14ac:dyDescent="0.3">
      <c r="D4" s="2"/>
      <c r="E4" s="2"/>
      <c r="F4" s="2"/>
      <c r="G4" s="2"/>
      <c r="H4" s="2"/>
      <c r="I4" s="2"/>
      <c r="J4" s="2"/>
      <c r="K4" s="2"/>
      <c r="L4" s="2"/>
      <c r="M4" s="2"/>
    </row>
    <row r="5" spans="2:13" ht="17.25" customHeight="1" x14ac:dyDescent="0.25">
      <c r="B5" s="43"/>
      <c r="C5" s="54"/>
      <c r="D5" s="331" t="s">
        <v>172</v>
      </c>
      <c r="E5" s="332"/>
      <c r="F5" s="332"/>
      <c r="G5" s="333"/>
      <c r="H5" s="326" t="s">
        <v>25</v>
      </c>
      <c r="I5" s="326"/>
      <c r="J5" s="326"/>
      <c r="K5" s="328" t="s">
        <v>41</v>
      </c>
      <c r="L5" s="326"/>
      <c r="M5" s="326"/>
    </row>
    <row r="6" spans="2:13" ht="18" thickBot="1" x14ac:dyDescent="0.3">
      <c r="B6" s="44"/>
      <c r="C6" s="55"/>
      <c r="D6" s="334"/>
      <c r="E6" s="335"/>
      <c r="F6" s="335"/>
      <c r="G6" s="336"/>
      <c r="H6" s="327"/>
      <c r="I6" s="327"/>
      <c r="J6" s="327"/>
      <c r="K6" s="329"/>
      <c r="L6" s="327"/>
      <c r="M6" s="327"/>
    </row>
    <row r="7" spans="2:13" ht="18.75" x14ac:dyDescent="0.25">
      <c r="B7" s="4" t="s">
        <v>13</v>
      </c>
      <c r="C7" s="67" t="s">
        <v>166</v>
      </c>
      <c r="D7" s="66" t="s">
        <v>171</v>
      </c>
      <c r="E7" s="67">
        <v>2020</v>
      </c>
      <c r="F7" s="67">
        <v>2019</v>
      </c>
      <c r="G7" s="68">
        <v>2018</v>
      </c>
      <c r="H7" s="69">
        <v>2020</v>
      </c>
      <c r="I7" s="3">
        <v>2019</v>
      </c>
      <c r="J7" s="70">
        <v>2018</v>
      </c>
      <c r="K7" s="69">
        <v>2020</v>
      </c>
      <c r="L7" s="3">
        <v>2019</v>
      </c>
      <c r="M7" s="70">
        <v>2018</v>
      </c>
    </row>
    <row r="8" spans="2:13" ht="18.75" x14ac:dyDescent="0.3">
      <c r="B8" s="113" t="s">
        <v>14</v>
      </c>
      <c r="C8" s="114">
        <v>18059.245000000006</v>
      </c>
      <c r="D8" s="218">
        <v>18132.469000000005</v>
      </c>
      <c r="E8" s="71">
        <v>27698.858900000316</v>
      </c>
      <c r="F8" s="71">
        <v>27253.82212000039</v>
      </c>
      <c r="G8" s="72">
        <v>22906.692000000075</v>
      </c>
      <c r="H8" s="73">
        <f>+D8/E8-1</f>
        <v>-0.3453712636515941</v>
      </c>
      <c r="I8" s="74">
        <f>D8/F8-1</f>
        <v>-0.33468161198963076</v>
      </c>
      <c r="J8" s="75">
        <f t="shared" ref="J8:J17" si="0">D8/G8-1</f>
        <v>-0.20842044761417555</v>
      </c>
      <c r="K8" s="76">
        <f t="shared" ref="K8:K17" si="1">D8-E8</f>
        <v>-9566.3899000003112</v>
      </c>
      <c r="L8" s="77">
        <f t="shared" ref="L8:L18" si="2">D8-F8</f>
        <v>-9121.3531200003854</v>
      </c>
      <c r="M8" s="78">
        <f t="shared" ref="M8:M18" si="3">D8-G8</f>
        <v>-4774.2230000000709</v>
      </c>
    </row>
    <row r="9" spans="2:13" ht="18.75" x14ac:dyDescent="0.3">
      <c r="B9" s="113" t="s">
        <v>15</v>
      </c>
      <c r="C9" s="114">
        <v>9157.358000000002</v>
      </c>
      <c r="D9" s="218">
        <v>9157.358000000002</v>
      </c>
      <c r="E9" s="71">
        <v>31706.872999999592</v>
      </c>
      <c r="F9" s="71">
        <v>32349.680999999604</v>
      </c>
      <c r="G9" s="72">
        <v>68059.529039998233</v>
      </c>
      <c r="H9" s="73">
        <f t="shared" ref="H9:H19" si="4">+D9/E9-1</f>
        <v>-0.71118697198553393</v>
      </c>
      <c r="I9" s="74">
        <f>D9/F9-1</f>
        <v>-0.71692586396755775</v>
      </c>
      <c r="J9" s="75">
        <f t="shared" si="0"/>
        <v>-0.86545075863486698</v>
      </c>
      <c r="K9" s="76">
        <f t="shared" si="1"/>
        <v>-22549.514999999592</v>
      </c>
      <c r="L9" s="77">
        <f t="shared" si="2"/>
        <v>-23192.322999999604</v>
      </c>
      <c r="M9" s="78">
        <f t="shared" si="3"/>
        <v>-58902.171039998233</v>
      </c>
    </row>
    <row r="10" spans="2:13" ht="18.75" x14ac:dyDescent="0.3">
      <c r="B10" s="113" t="s">
        <v>16</v>
      </c>
      <c r="C10" s="114">
        <v>18651.105999999982</v>
      </c>
      <c r="D10" s="218">
        <v>18999.009999999973</v>
      </c>
      <c r="E10" s="71">
        <v>19878.663000000004</v>
      </c>
      <c r="F10" s="71">
        <v>24971.648000000052</v>
      </c>
      <c r="G10" s="72">
        <v>31784.836040000187</v>
      </c>
      <c r="H10" s="73">
        <f t="shared" si="4"/>
        <v>-4.4251114876288744E-2</v>
      </c>
      <c r="I10" s="74">
        <f>D10/F10-1</f>
        <v>-0.23917676558631884</v>
      </c>
      <c r="J10" s="75">
        <f t="shared" si="0"/>
        <v>-0.40226182145189193</v>
      </c>
      <c r="K10" s="76">
        <f t="shared" si="1"/>
        <v>-879.65300000003117</v>
      </c>
      <c r="L10" s="77">
        <f t="shared" si="2"/>
        <v>-5972.638000000079</v>
      </c>
      <c r="M10" s="78">
        <f t="shared" si="3"/>
        <v>-12785.826040000215</v>
      </c>
    </row>
    <row r="11" spans="2:13" ht="19.5" thickBot="1" x14ac:dyDescent="0.35">
      <c r="B11" s="113" t="s">
        <v>17</v>
      </c>
      <c r="C11" s="114">
        <v>61870.759793998259</v>
      </c>
      <c r="D11" s="218">
        <v>64165.108793998217</v>
      </c>
      <c r="E11" s="71">
        <v>44894.398627998817</v>
      </c>
      <c r="F11" s="71">
        <v>39042.837739999806</v>
      </c>
      <c r="G11" s="72">
        <v>53430.642359998616</v>
      </c>
      <c r="H11" s="197">
        <f t="shared" si="4"/>
        <v>0.42924531244263164</v>
      </c>
      <c r="I11" s="219">
        <f>D11/F11-1</f>
        <v>0.64345402404652496</v>
      </c>
      <c r="J11" s="94">
        <f t="shared" si="0"/>
        <v>0.20090468614758916</v>
      </c>
      <c r="K11" s="198">
        <f t="shared" si="1"/>
        <v>19270.7101659994</v>
      </c>
      <c r="L11" s="220">
        <f t="shared" si="2"/>
        <v>25122.271053998411</v>
      </c>
      <c r="M11" s="96">
        <f t="shared" si="3"/>
        <v>10734.466433999602</v>
      </c>
    </row>
    <row r="12" spans="2:13" ht="19.5" thickBot="1" x14ac:dyDescent="0.35">
      <c r="B12" s="115" t="s">
        <v>18</v>
      </c>
      <c r="C12" s="116">
        <f>SUM(C8:C11)</f>
        <v>107738.46879399824</v>
      </c>
      <c r="D12" s="79">
        <f>SUM(D8:D11)</f>
        <v>110453.94579399819</v>
      </c>
      <c r="E12" s="80">
        <f>SUM(E8:E11)</f>
        <v>124178.79352799873</v>
      </c>
      <c r="F12" s="80">
        <f>SUM(F8:F11)</f>
        <v>123617.98885999987</v>
      </c>
      <c r="G12" s="81">
        <f>SUM(G8:G11)</f>
        <v>176181.69943999712</v>
      </c>
      <c r="H12" s="82">
        <f t="shared" si="4"/>
        <v>-0.11052489192452963</v>
      </c>
      <c r="I12" s="82">
        <f>D12/F12-I13</f>
        <v>1.1327406356970418</v>
      </c>
      <c r="J12" s="82">
        <f t="shared" si="0"/>
        <v>-0.37306799659055434</v>
      </c>
      <c r="K12" s="83">
        <f t="shared" si="1"/>
        <v>-13724.847734000534</v>
      </c>
      <c r="L12" s="83">
        <f t="shared" si="2"/>
        <v>-13164.043066001672</v>
      </c>
      <c r="M12" s="83">
        <f t="shared" si="3"/>
        <v>-65727.753645998921</v>
      </c>
    </row>
    <row r="13" spans="2:13" ht="18.75" x14ac:dyDescent="0.3">
      <c r="B13" s="113" t="s">
        <v>19</v>
      </c>
      <c r="C13" s="118">
        <v>38108.733099999343</v>
      </c>
      <c r="D13" s="218">
        <v>39901.731099999073</v>
      </c>
      <c r="E13" s="84">
        <v>57932.458039998455</v>
      </c>
      <c r="F13" s="84">
        <v>50092.34081999887</v>
      </c>
      <c r="G13" s="85">
        <v>39708.930439998927</v>
      </c>
      <c r="H13" s="86">
        <f t="shared" si="4"/>
        <v>-0.31123704310199274</v>
      </c>
      <c r="I13" s="87">
        <f>C13/F13-1</f>
        <v>-0.23923033988491893</v>
      </c>
      <c r="J13" s="314">
        <f t="shared" si="0"/>
        <v>4.8553475972230586E-3</v>
      </c>
      <c r="K13" s="88">
        <f t="shared" si="1"/>
        <v>-18030.726939999382</v>
      </c>
      <c r="L13" s="89">
        <f t="shared" si="2"/>
        <v>-10190.609719999797</v>
      </c>
      <c r="M13" s="313">
        <f t="shared" si="3"/>
        <v>192.80066000014631</v>
      </c>
    </row>
    <row r="14" spans="2:13" ht="18.75" x14ac:dyDescent="0.3">
      <c r="B14" s="113" t="s">
        <v>20</v>
      </c>
      <c r="C14" s="118">
        <v>7173.8899999999794</v>
      </c>
      <c r="D14" s="218">
        <v>7220.5459999999794</v>
      </c>
      <c r="E14" s="84">
        <v>9602.1720000000132</v>
      </c>
      <c r="F14" s="84">
        <v>9434.5719999999837</v>
      </c>
      <c r="G14" s="85">
        <v>11461.732000000009</v>
      </c>
      <c r="H14" s="73">
        <f t="shared" si="4"/>
        <v>-0.24802992489616205</v>
      </c>
      <c r="I14" s="74">
        <f t="shared" ref="I14:I19" si="5">D14/F14-1</f>
        <v>-0.23467158870587967</v>
      </c>
      <c r="J14" s="75">
        <f t="shared" si="0"/>
        <v>-0.37003011412237052</v>
      </c>
      <c r="K14" s="76">
        <f t="shared" si="1"/>
        <v>-2381.6260000000339</v>
      </c>
      <c r="L14" s="77">
        <f t="shared" si="2"/>
        <v>-2214.0260000000044</v>
      </c>
      <c r="M14" s="78">
        <f t="shared" si="3"/>
        <v>-4241.1860000000297</v>
      </c>
    </row>
    <row r="15" spans="2:13" ht="18.75" x14ac:dyDescent="0.3">
      <c r="B15" s="113" t="s">
        <v>23</v>
      </c>
      <c r="C15" s="118">
        <v>4718.2240000000047</v>
      </c>
      <c r="D15" s="218">
        <v>4718.2240000000038</v>
      </c>
      <c r="E15" s="90">
        <v>3741.0679999999998</v>
      </c>
      <c r="F15" s="90">
        <v>4377.8119999999999</v>
      </c>
      <c r="G15" s="90">
        <v>6547.4660000000013</v>
      </c>
      <c r="H15" s="197">
        <f t="shared" si="4"/>
        <v>0.26119706992762604</v>
      </c>
      <c r="I15" s="91">
        <f t="shared" si="5"/>
        <v>7.7758478436260825E-2</v>
      </c>
      <c r="J15" s="75">
        <f t="shared" si="0"/>
        <v>-0.27938167223777821</v>
      </c>
      <c r="K15" s="198">
        <f t="shared" si="1"/>
        <v>977.15600000000404</v>
      </c>
      <c r="L15" s="92">
        <f t="shared" si="2"/>
        <v>340.4120000000039</v>
      </c>
      <c r="M15" s="78">
        <f t="shared" si="3"/>
        <v>-1829.2419999999975</v>
      </c>
    </row>
    <row r="16" spans="2:13" ht="18.75" x14ac:dyDescent="0.3">
      <c r="B16" s="113" t="s">
        <v>21</v>
      </c>
      <c r="C16" s="118">
        <v>71328.047247998649</v>
      </c>
      <c r="D16" s="218">
        <v>72254.039247998269</v>
      </c>
      <c r="E16" s="84">
        <v>33536.487000000096</v>
      </c>
      <c r="F16" s="84">
        <v>23537.90445000006</v>
      </c>
      <c r="G16" s="85">
        <v>7578.3225000000284</v>
      </c>
      <c r="H16" s="93">
        <f t="shared" si="4"/>
        <v>1.1544903987110535</v>
      </c>
      <c r="I16" s="91">
        <f t="shared" si="5"/>
        <v>2.0696886972874973</v>
      </c>
      <c r="J16" s="94">
        <f t="shared" si="0"/>
        <v>8.5343051510407477</v>
      </c>
      <c r="K16" s="95">
        <f t="shared" si="1"/>
        <v>38717.552247998174</v>
      </c>
      <c r="L16" s="92">
        <f t="shared" si="2"/>
        <v>48716.134797998209</v>
      </c>
      <c r="M16" s="96">
        <f t="shared" si="3"/>
        <v>64675.716747998238</v>
      </c>
    </row>
    <row r="17" spans="1:13" ht="19.5" thickBot="1" x14ac:dyDescent="0.35">
      <c r="B17" s="117" t="s">
        <v>22</v>
      </c>
      <c r="C17" s="118">
        <v>26958.700700000172</v>
      </c>
      <c r="D17" s="218">
        <v>27287.454700000169</v>
      </c>
      <c r="E17" s="84">
        <v>18295.256800000025</v>
      </c>
      <c r="F17" s="84">
        <v>21591.933200000018</v>
      </c>
      <c r="G17" s="85">
        <v>28614.64449999998</v>
      </c>
      <c r="H17" s="93">
        <f t="shared" si="4"/>
        <v>0.49150432805076183</v>
      </c>
      <c r="I17" s="91">
        <f t="shared" si="5"/>
        <v>0.26378006300983503</v>
      </c>
      <c r="J17" s="75">
        <f t="shared" si="0"/>
        <v>-4.6381488331955767E-2</v>
      </c>
      <c r="K17" s="95">
        <f t="shared" si="1"/>
        <v>8992.1979000001447</v>
      </c>
      <c r="L17" s="92">
        <f t="shared" si="2"/>
        <v>5695.5215000001517</v>
      </c>
      <c r="M17" s="78">
        <f t="shared" si="3"/>
        <v>-1327.1897999998109</v>
      </c>
    </row>
    <row r="18" spans="1:13" ht="19.5" thickBot="1" x14ac:dyDescent="0.35">
      <c r="B18" s="119" t="s">
        <v>26</v>
      </c>
      <c r="C18" s="120">
        <f>SUM(C13:C17)</f>
        <v>148287.59504799813</v>
      </c>
      <c r="D18" s="97">
        <f>SUM(D13:D17)</f>
        <v>151381.99504799751</v>
      </c>
      <c r="E18" s="98">
        <f>SUM(E13:E17)</f>
        <v>123107.44183999859</v>
      </c>
      <c r="F18" s="98">
        <f>SUM(F13:F17)</f>
        <v>109034.56246999893</v>
      </c>
      <c r="G18" s="99">
        <f>SUM(G13:G17)</f>
        <v>93911.095439998957</v>
      </c>
      <c r="H18" s="93">
        <f t="shared" si="4"/>
        <v>0.22967379376420682</v>
      </c>
      <c r="I18" s="91">
        <f t="shared" si="5"/>
        <v>0.38838540384523079</v>
      </c>
      <c r="J18" s="94">
        <f>D18/G18-1</f>
        <v>0.61197134735498282</v>
      </c>
      <c r="K18" s="100">
        <f>D18-E18</f>
        <v>28274.553207998921</v>
      </c>
      <c r="L18" s="101">
        <f t="shared" si="2"/>
        <v>42347.432577998581</v>
      </c>
      <c r="M18" s="101">
        <f t="shared" si="3"/>
        <v>57470.899607998552</v>
      </c>
    </row>
    <row r="19" spans="1:13" ht="19.5" thickBot="1" x14ac:dyDescent="0.3">
      <c r="B19" s="196" t="s">
        <v>174</v>
      </c>
      <c r="C19" s="121">
        <f>C12+C18</f>
        <v>256026.06384199637</v>
      </c>
      <c r="D19" s="102">
        <f>D12+D18</f>
        <v>261835.9408419957</v>
      </c>
      <c r="E19" s="103">
        <f>E12+E18</f>
        <v>247286.23536799732</v>
      </c>
      <c r="F19" s="103">
        <f>F12+F18</f>
        <v>232652.55132999879</v>
      </c>
      <c r="G19" s="103">
        <f>G12+G18</f>
        <v>270092.7948799961</v>
      </c>
      <c r="H19" s="301">
        <f t="shared" si="4"/>
        <v>5.8837506472393608E-2</v>
      </c>
      <c r="I19" s="301">
        <f t="shared" si="5"/>
        <v>0.12543765088826664</v>
      </c>
      <c r="J19" s="104">
        <f>D19/G19-1</f>
        <v>-3.0570434289700188E-2</v>
      </c>
      <c r="K19" s="306">
        <f>D19-E19</f>
        <v>14549.705473998387</v>
      </c>
      <c r="L19" s="302">
        <f>D19-F19</f>
        <v>29183.389511996909</v>
      </c>
      <c r="M19" s="105">
        <f>D19-G19</f>
        <v>-8256.8540380003978</v>
      </c>
    </row>
    <row r="20" spans="1:13" ht="18.75" x14ac:dyDescent="0.3">
      <c r="B20" s="122" t="s">
        <v>46</v>
      </c>
      <c r="C20" s="123"/>
      <c r="D20" s="106"/>
      <c r="E20" s="107">
        <v>248044.08040000001</v>
      </c>
      <c r="F20" s="107">
        <v>233879.3</v>
      </c>
      <c r="G20" s="107">
        <v>271615.8149</v>
      </c>
      <c r="H20" s="108"/>
      <c r="I20" s="108"/>
      <c r="J20" s="108"/>
      <c r="K20" s="109"/>
      <c r="L20" s="109"/>
      <c r="M20" s="109"/>
    </row>
    <row r="21" spans="1:13" ht="18.75" x14ac:dyDescent="0.3">
      <c r="A21" s="12" t="s">
        <v>27</v>
      </c>
      <c r="B21" s="25"/>
      <c r="C21" s="26"/>
      <c r="D21" s="110"/>
      <c r="E21" s="110"/>
      <c r="F21" s="110"/>
      <c r="G21" s="110"/>
      <c r="H21" s="111"/>
      <c r="I21" s="111"/>
      <c r="J21" s="111"/>
      <c r="K21" s="112"/>
      <c r="L21" s="112"/>
      <c r="M21" s="112"/>
    </row>
    <row r="22" spans="1:13" x14ac:dyDescent="0.25">
      <c r="A22" t="s">
        <v>39</v>
      </c>
      <c r="B22" s="25"/>
      <c r="C22" s="26"/>
      <c r="D22" s="26"/>
      <c r="E22" s="26"/>
      <c r="F22" s="26"/>
      <c r="G22" s="26"/>
      <c r="H22" s="27"/>
      <c r="I22" s="27"/>
      <c r="J22" s="27"/>
      <c r="K22" s="28"/>
      <c r="L22" s="28"/>
      <c r="M22" s="28"/>
    </row>
    <row r="23" spans="1:13" ht="17.25" x14ac:dyDescent="0.3">
      <c r="B23" s="330"/>
      <c r="C23" s="330"/>
      <c r="D23" s="42"/>
      <c r="E23" s="30"/>
      <c r="F23" s="29"/>
      <c r="G23" s="10"/>
      <c r="H23" s="10"/>
      <c r="I23" s="27"/>
      <c r="J23" s="27"/>
      <c r="K23" s="28"/>
      <c r="L23" s="28"/>
      <c r="M23" s="28"/>
    </row>
    <row r="24" spans="1:13" ht="17.25" x14ac:dyDescent="0.3">
      <c r="B24" s="30"/>
      <c r="C24" s="29"/>
      <c r="D24" s="29"/>
      <c r="E24" s="41"/>
      <c r="F24" s="29"/>
      <c r="G24" s="10"/>
      <c r="H24" s="10"/>
      <c r="I24" s="27"/>
      <c r="J24" s="27"/>
      <c r="K24" s="28"/>
      <c r="L24" s="28"/>
      <c r="M24" s="28"/>
    </row>
    <row r="25" spans="1:13" ht="17.25" x14ac:dyDescent="0.3">
      <c r="C25" s="45"/>
      <c r="D25" s="20"/>
      <c r="E25" s="45"/>
      <c r="F25" s="10"/>
      <c r="G25" s="10"/>
      <c r="H25" s="10"/>
      <c r="I25" s="27"/>
      <c r="J25" s="27"/>
      <c r="K25" s="28"/>
      <c r="L25" s="28"/>
      <c r="M25" s="28"/>
    </row>
    <row r="26" spans="1:13" x14ac:dyDescent="0.25">
      <c r="E26" s="45"/>
    </row>
  </sheetData>
  <mergeCells count="5">
    <mergeCell ref="J2:K2"/>
    <mergeCell ref="H5:J6"/>
    <mergeCell ref="K5:M6"/>
    <mergeCell ref="B23:C23"/>
    <mergeCell ref="D5:G6"/>
  </mergeCells>
  <phoneticPr fontId="28"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V69"/>
  <sheetViews>
    <sheetView showGridLines="0" zoomScale="70" zoomScaleNormal="70" workbookViewId="0">
      <selection activeCell="Q17" sqref="Q17"/>
    </sheetView>
  </sheetViews>
  <sheetFormatPr baseColWidth="10" defaultRowHeight="21" x14ac:dyDescent="0.35"/>
  <cols>
    <col min="1" max="3" width="6.28515625" customWidth="1"/>
    <col min="4" max="4" width="20.85546875" style="222" customWidth="1"/>
    <col min="5" max="5" width="16" style="222" bestFit="1" customWidth="1"/>
    <col min="6" max="6" width="12.5703125" style="222" customWidth="1"/>
    <col min="7" max="7" width="11.7109375" style="222" bestFit="1" customWidth="1"/>
    <col min="8" max="8" width="12.85546875" style="222" bestFit="1" customWidth="1"/>
    <col min="9" max="10" width="11.7109375" style="222" bestFit="1" customWidth="1"/>
    <col min="11" max="11" width="12.85546875" style="222" bestFit="1" customWidth="1"/>
    <col min="12" max="12" width="14.28515625" style="222" customWidth="1"/>
    <col min="13" max="14" width="14.42578125" style="222" bestFit="1" customWidth="1"/>
    <col min="15" max="15" width="15" style="222" customWidth="1"/>
    <col min="16" max="16" width="12.85546875" style="222" bestFit="1" customWidth="1"/>
    <col min="17" max="17" width="22.28515625" style="222" customWidth="1"/>
    <col min="18" max="18" width="16" style="222" bestFit="1" customWidth="1"/>
    <col min="19" max="22" width="11.42578125" style="222"/>
  </cols>
  <sheetData>
    <row r="4" spans="4:18" ht="21.75" thickBot="1" x14ac:dyDescent="0.4"/>
    <row r="5" spans="4:18" ht="21.75" thickBot="1" x14ac:dyDescent="0.4">
      <c r="D5" s="344" t="s">
        <v>180</v>
      </c>
      <c r="E5" s="345"/>
      <c r="F5" s="345"/>
      <c r="G5" s="345"/>
      <c r="H5" s="345"/>
      <c r="I5" s="345"/>
      <c r="J5" s="345"/>
      <c r="K5" s="345"/>
      <c r="L5" s="345"/>
      <c r="M5" s="345"/>
      <c r="N5" s="345"/>
      <c r="O5" s="345"/>
      <c r="P5" s="345"/>
      <c r="Q5" s="345"/>
      <c r="R5" s="346"/>
    </row>
    <row r="7" spans="4:18" x14ac:dyDescent="0.35">
      <c r="D7" s="223" t="s">
        <v>94</v>
      </c>
      <c r="E7" s="224" t="s">
        <v>100</v>
      </c>
      <c r="F7" s="224" t="s">
        <v>102</v>
      </c>
      <c r="G7" s="224" t="s">
        <v>101</v>
      </c>
      <c r="H7" s="224" t="s">
        <v>103</v>
      </c>
      <c r="I7" s="224" t="s">
        <v>104</v>
      </c>
      <c r="J7" s="224" t="s">
        <v>105</v>
      </c>
      <c r="K7" s="224" t="s">
        <v>106</v>
      </c>
      <c r="L7" s="224" t="s">
        <v>107</v>
      </c>
      <c r="M7" s="224" t="s">
        <v>108</v>
      </c>
      <c r="N7" s="225" t="s">
        <v>109</v>
      </c>
      <c r="O7" s="225" t="s">
        <v>119</v>
      </c>
      <c r="P7" s="225" t="s">
        <v>120</v>
      </c>
      <c r="Q7" s="225" t="s">
        <v>20</v>
      </c>
      <c r="R7" s="226" t="s">
        <v>110</v>
      </c>
    </row>
    <row r="8" spans="4:18" x14ac:dyDescent="0.35">
      <c r="D8" s="227" t="s">
        <v>95</v>
      </c>
      <c r="E8" s="228">
        <v>507.22</v>
      </c>
      <c r="F8" s="228"/>
      <c r="G8" s="228"/>
      <c r="H8" s="228"/>
      <c r="I8" s="228"/>
      <c r="J8" s="228"/>
      <c r="K8" s="228"/>
      <c r="L8" s="228"/>
      <c r="M8" s="228"/>
      <c r="N8" s="228"/>
      <c r="O8" s="228"/>
      <c r="P8" s="228"/>
      <c r="Q8" s="228"/>
      <c r="R8" s="229">
        <f>SUM(E8:Q8)</f>
        <v>507.22</v>
      </c>
    </row>
    <row r="9" spans="4:18" x14ac:dyDescent="0.35">
      <c r="D9" s="227" t="s">
        <v>96</v>
      </c>
      <c r="E9" s="228"/>
      <c r="F9" s="228"/>
      <c r="G9" s="228"/>
      <c r="H9" s="228"/>
      <c r="I9" s="228"/>
      <c r="J9" s="228"/>
      <c r="K9" s="228"/>
      <c r="L9" s="228">
        <v>49.6</v>
      </c>
      <c r="M9" s="228"/>
      <c r="N9" s="228"/>
      <c r="O9" s="228"/>
      <c r="P9" s="228"/>
      <c r="Q9" s="228"/>
      <c r="R9" s="229">
        <f t="shared" ref="R9:R11" si="0">SUM(E9:Q9)</f>
        <v>49.6</v>
      </c>
    </row>
    <row r="10" spans="4:18" x14ac:dyDescent="0.35">
      <c r="D10" s="227" t="s">
        <v>97</v>
      </c>
      <c r="E10" s="228">
        <v>473.77</v>
      </c>
      <c r="F10" s="228"/>
      <c r="G10" s="228"/>
      <c r="H10" s="228">
        <v>192</v>
      </c>
      <c r="I10" s="228"/>
      <c r="J10" s="228"/>
      <c r="K10" s="228"/>
      <c r="L10" s="228">
        <v>102.38</v>
      </c>
      <c r="M10" s="228">
        <v>1776.08</v>
      </c>
      <c r="N10" s="228"/>
      <c r="O10" s="228"/>
      <c r="P10" s="228"/>
      <c r="Q10" s="228"/>
      <c r="R10" s="229">
        <f t="shared" si="0"/>
        <v>2544.23</v>
      </c>
    </row>
    <row r="11" spans="4:18" x14ac:dyDescent="0.35">
      <c r="D11" s="227" t="s">
        <v>98</v>
      </c>
      <c r="E11" s="228">
        <v>1436.51</v>
      </c>
      <c r="F11" s="228"/>
      <c r="G11" s="228"/>
      <c r="H11" s="228">
        <v>169.21</v>
      </c>
      <c r="I11" s="228"/>
      <c r="J11" s="228"/>
      <c r="K11" s="228">
        <v>184.19</v>
      </c>
      <c r="L11" s="228">
        <v>51.84</v>
      </c>
      <c r="M11" s="228">
        <v>7490.92</v>
      </c>
      <c r="N11" s="228"/>
      <c r="O11" s="228"/>
      <c r="P11" s="228"/>
      <c r="Q11" s="228"/>
      <c r="R11" s="229">
        <f t="shared" si="0"/>
        <v>9332.67</v>
      </c>
    </row>
    <row r="12" spans="4:18" x14ac:dyDescent="0.35">
      <c r="D12" s="227" t="s">
        <v>99</v>
      </c>
      <c r="E12" s="228">
        <v>107952.47</v>
      </c>
      <c r="F12" s="228">
        <v>46.8</v>
      </c>
      <c r="G12" s="228"/>
      <c r="H12" s="228">
        <v>4935.59</v>
      </c>
      <c r="I12" s="228"/>
      <c r="J12" s="228"/>
      <c r="K12" s="228">
        <v>1970.42</v>
      </c>
      <c r="L12" s="228"/>
      <c r="M12" s="228">
        <v>64336.82</v>
      </c>
      <c r="N12" s="228">
        <v>19035.78</v>
      </c>
      <c r="O12" s="228">
        <v>39901.730000000003</v>
      </c>
      <c r="P12" s="228">
        <v>4718.22</v>
      </c>
      <c r="Q12" s="228">
        <v>7220.54</v>
      </c>
      <c r="R12" s="229">
        <f>SUM(E12:Q12)</f>
        <v>250118.37000000002</v>
      </c>
    </row>
    <row r="13" spans="4:18" x14ac:dyDescent="0.35">
      <c r="D13" s="230" t="s">
        <v>112</v>
      </c>
      <c r="E13" s="229">
        <f>SUM(E8:E12)</f>
        <v>110369.97</v>
      </c>
      <c r="F13" s="229">
        <f t="shared" ref="F13:Q13" si="1">SUM(F8:F12)</f>
        <v>46.8</v>
      </c>
      <c r="G13" s="229">
        <f t="shared" si="1"/>
        <v>0</v>
      </c>
      <c r="H13" s="229">
        <f t="shared" si="1"/>
        <v>5296.8</v>
      </c>
      <c r="I13" s="229">
        <f t="shared" si="1"/>
        <v>0</v>
      </c>
      <c r="J13" s="229">
        <f t="shared" si="1"/>
        <v>0</v>
      </c>
      <c r="K13" s="229">
        <f t="shared" si="1"/>
        <v>2154.61</v>
      </c>
      <c r="L13" s="229">
        <f t="shared" si="1"/>
        <v>203.82</v>
      </c>
      <c r="M13" s="229">
        <f t="shared" si="1"/>
        <v>73603.820000000007</v>
      </c>
      <c r="N13" s="229">
        <f t="shared" si="1"/>
        <v>19035.78</v>
      </c>
      <c r="O13" s="229">
        <f t="shared" si="1"/>
        <v>39901.730000000003</v>
      </c>
      <c r="P13" s="229">
        <f t="shared" si="1"/>
        <v>4718.22</v>
      </c>
      <c r="Q13" s="229">
        <f t="shared" si="1"/>
        <v>7220.54</v>
      </c>
      <c r="R13" s="229">
        <f>SUM(R8:R12)</f>
        <v>262552.09000000003</v>
      </c>
    </row>
    <row r="14" spans="4:18" ht="21.75" thickBot="1" x14ac:dyDescent="0.4">
      <c r="D14" s="231"/>
      <c r="E14" s="232"/>
      <c r="F14" s="232"/>
      <c r="G14" s="232"/>
      <c r="H14" s="232"/>
      <c r="I14" s="232"/>
      <c r="J14" s="232"/>
      <c r="K14" s="232"/>
      <c r="L14" s="232"/>
      <c r="M14" s="232"/>
      <c r="N14" s="232"/>
      <c r="O14" s="232"/>
      <c r="P14" s="232"/>
      <c r="Q14" s="232"/>
      <c r="R14" s="232"/>
    </row>
    <row r="15" spans="4:18" ht="21.75" thickBot="1" x14ac:dyDescent="0.4">
      <c r="D15" s="341" t="s">
        <v>181</v>
      </c>
      <c r="E15" s="342"/>
      <c r="F15" s="342"/>
      <c r="G15" s="342"/>
      <c r="H15" s="342"/>
      <c r="I15" s="342"/>
      <c r="J15" s="342"/>
      <c r="K15" s="342"/>
      <c r="L15" s="342"/>
      <c r="M15" s="342"/>
      <c r="N15" s="342"/>
      <c r="O15" s="342"/>
      <c r="P15" s="342"/>
      <c r="Q15" s="342"/>
      <c r="R15" s="343"/>
    </row>
    <row r="16" spans="4:18" ht="8.25" customHeight="1" x14ac:dyDescent="0.35"/>
    <row r="17" spans="4:19" ht="17.25" customHeight="1" x14ac:dyDescent="0.35">
      <c r="D17" s="233" t="s">
        <v>94</v>
      </c>
      <c r="E17" s="234" t="s">
        <v>100</v>
      </c>
      <c r="F17" s="234" t="s">
        <v>102</v>
      </c>
      <c r="G17" s="234" t="s">
        <v>101</v>
      </c>
      <c r="H17" s="234" t="s">
        <v>103</v>
      </c>
      <c r="I17" s="234" t="s">
        <v>104</v>
      </c>
      <c r="J17" s="234" t="s">
        <v>105</v>
      </c>
      <c r="K17" s="234" t="s">
        <v>106</v>
      </c>
      <c r="L17" s="234" t="s">
        <v>107</v>
      </c>
      <c r="M17" s="234" t="s">
        <v>108</v>
      </c>
      <c r="N17" s="235" t="s">
        <v>109</v>
      </c>
      <c r="O17" s="235" t="s">
        <v>119</v>
      </c>
      <c r="P17" s="235" t="s">
        <v>120</v>
      </c>
      <c r="Q17" s="235" t="s">
        <v>20</v>
      </c>
      <c r="R17" s="233" t="s">
        <v>110</v>
      </c>
    </row>
    <row r="18" spans="4:19" x14ac:dyDescent="0.35">
      <c r="D18" s="227" t="s">
        <v>95</v>
      </c>
      <c r="E18" s="228">
        <v>507.22</v>
      </c>
      <c r="F18" s="228"/>
      <c r="G18" s="228"/>
      <c r="H18" s="228"/>
      <c r="I18" s="228"/>
      <c r="J18" s="228"/>
      <c r="K18" s="228"/>
      <c r="L18" s="228"/>
      <c r="M18" s="228"/>
      <c r="N18" s="228"/>
      <c r="O18" s="228"/>
      <c r="P18" s="228"/>
      <c r="Q18" s="228"/>
      <c r="R18" s="236">
        <f>SUM(E18:Q18)</f>
        <v>507.22</v>
      </c>
      <c r="S18" s="237"/>
    </row>
    <row r="19" spans="4:19" x14ac:dyDescent="0.35">
      <c r="D19" s="227" t="s">
        <v>96</v>
      </c>
      <c r="E19" s="228"/>
      <c r="F19" s="228"/>
      <c r="G19" s="228"/>
      <c r="H19" s="228"/>
      <c r="I19" s="228"/>
      <c r="J19" s="228"/>
      <c r="K19" s="228"/>
      <c r="L19" s="228">
        <v>49.6</v>
      </c>
      <c r="M19" s="228"/>
      <c r="N19" s="228"/>
      <c r="O19" s="228"/>
      <c r="P19" s="228"/>
      <c r="Q19" s="228"/>
      <c r="R19" s="236">
        <f t="shared" ref="R19:R21" si="2">SUM(E19:Q19)</f>
        <v>49.6</v>
      </c>
      <c r="S19" s="237"/>
    </row>
    <row r="20" spans="4:19" x14ac:dyDescent="0.35">
      <c r="D20" s="227" t="s">
        <v>97</v>
      </c>
      <c r="E20" s="228">
        <v>473.77</v>
      </c>
      <c r="F20" s="228"/>
      <c r="G20" s="228"/>
      <c r="H20" s="228">
        <v>192</v>
      </c>
      <c r="I20" s="228"/>
      <c r="J20" s="228"/>
      <c r="K20" s="228"/>
      <c r="L20" s="228">
        <v>102.38</v>
      </c>
      <c r="M20" s="228">
        <v>1776.08</v>
      </c>
      <c r="N20" s="228"/>
      <c r="O20" s="228"/>
      <c r="P20" s="228"/>
      <c r="Q20" s="228"/>
      <c r="R20" s="236">
        <f t="shared" si="2"/>
        <v>2544.23</v>
      </c>
      <c r="S20" s="237"/>
    </row>
    <row r="21" spans="4:19" x14ac:dyDescent="0.35">
      <c r="D21" s="227" t="s">
        <v>98</v>
      </c>
      <c r="E21" s="228">
        <v>1436.51</v>
      </c>
      <c r="F21" s="228"/>
      <c r="G21" s="228"/>
      <c r="H21" s="228">
        <v>169.21</v>
      </c>
      <c r="I21" s="228"/>
      <c r="J21" s="228"/>
      <c r="K21" s="228">
        <v>184.19</v>
      </c>
      <c r="L21" s="228">
        <v>51.84</v>
      </c>
      <c r="M21" s="228">
        <v>7490.92</v>
      </c>
      <c r="N21" s="228"/>
      <c r="O21" s="228"/>
      <c r="P21" s="228"/>
      <c r="Q21" s="228"/>
      <c r="R21" s="236">
        <f t="shared" si="2"/>
        <v>9332.67</v>
      </c>
      <c r="S21" s="237"/>
    </row>
    <row r="22" spans="4:19" x14ac:dyDescent="0.35">
      <c r="D22" s="227" t="s">
        <v>99</v>
      </c>
      <c r="E22" s="228">
        <v>107952.47</v>
      </c>
      <c r="F22" s="228">
        <v>46.8</v>
      </c>
      <c r="G22" s="228"/>
      <c r="H22" s="228">
        <v>4835.59</v>
      </c>
      <c r="I22" s="228"/>
      <c r="J22" s="228"/>
      <c r="K22" s="228">
        <v>1970.42</v>
      </c>
      <c r="L22" s="228"/>
      <c r="M22" s="228">
        <v>64336.85</v>
      </c>
      <c r="N22" s="228">
        <v>18730.43</v>
      </c>
      <c r="O22" s="228">
        <v>38108.730000000003</v>
      </c>
      <c r="P22" s="228">
        <v>4718.22</v>
      </c>
      <c r="Q22" s="228">
        <v>7173.89</v>
      </c>
      <c r="R22" s="236">
        <f>SUM(E22:Q22)</f>
        <v>247873.40000000002</v>
      </c>
      <c r="S22" s="237"/>
    </row>
    <row r="23" spans="4:19" x14ac:dyDescent="0.35">
      <c r="D23" s="238" t="s">
        <v>112</v>
      </c>
      <c r="E23" s="236">
        <f>SUM(E18:E22)</f>
        <v>110369.97</v>
      </c>
      <c r="F23" s="236">
        <f t="shared" ref="F23:Q23" si="3">SUM(F18:F22)</f>
        <v>46.8</v>
      </c>
      <c r="G23" s="236">
        <f t="shared" si="3"/>
        <v>0</v>
      </c>
      <c r="H23" s="236">
        <f t="shared" si="3"/>
        <v>5196.8</v>
      </c>
      <c r="I23" s="236">
        <f t="shared" si="3"/>
        <v>0</v>
      </c>
      <c r="J23" s="236">
        <f t="shared" si="3"/>
        <v>0</v>
      </c>
      <c r="K23" s="236">
        <f t="shared" si="3"/>
        <v>2154.61</v>
      </c>
      <c r="L23" s="236">
        <f t="shared" si="3"/>
        <v>203.82</v>
      </c>
      <c r="M23" s="236">
        <f t="shared" si="3"/>
        <v>73603.850000000006</v>
      </c>
      <c r="N23" s="236">
        <f t="shared" si="3"/>
        <v>18730.43</v>
      </c>
      <c r="O23" s="236">
        <f t="shared" si="3"/>
        <v>38108.730000000003</v>
      </c>
      <c r="P23" s="236">
        <f t="shared" si="3"/>
        <v>4718.22</v>
      </c>
      <c r="Q23" s="236">
        <f t="shared" si="3"/>
        <v>7173.89</v>
      </c>
      <c r="R23" s="236">
        <f>SUM(R18:R22)</f>
        <v>260307.12000000002</v>
      </c>
      <c r="S23" s="237"/>
    </row>
    <row r="25" spans="4:19" x14ac:dyDescent="0.35">
      <c r="D25" s="222" t="s">
        <v>121</v>
      </c>
    </row>
    <row r="26" spans="4:19" x14ac:dyDescent="0.35">
      <c r="D26" s="222" t="s">
        <v>122</v>
      </c>
    </row>
    <row r="27" spans="4:19" ht="21.75" thickBot="1" x14ac:dyDescent="0.4"/>
    <row r="28" spans="4:19" ht="21" customHeight="1" thickBot="1" x14ac:dyDescent="0.4">
      <c r="D28" s="347" t="s">
        <v>182</v>
      </c>
      <c r="E28" s="348"/>
      <c r="F28" s="348"/>
      <c r="G28" s="348"/>
      <c r="H28" s="348"/>
      <c r="I28" s="348"/>
      <c r="J28" s="348"/>
      <c r="K28" s="348"/>
      <c r="L28" s="348"/>
      <c r="M28" s="348"/>
      <c r="N28" s="348"/>
      <c r="O28" s="348"/>
      <c r="P28" s="348"/>
      <c r="Q28" s="348"/>
      <c r="R28" s="349"/>
    </row>
    <row r="29" spans="4:19" ht="11.25" customHeight="1" x14ac:dyDescent="0.35"/>
    <row r="30" spans="4:19" x14ac:dyDescent="0.35">
      <c r="D30" s="223" t="s">
        <v>94</v>
      </c>
      <c r="E30" s="224" t="s">
        <v>100</v>
      </c>
      <c r="F30" s="224" t="s">
        <v>102</v>
      </c>
      <c r="G30" s="224" t="s">
        <v>101</v>
      </c>
      <c r="H30" s="224" t="s">
        <v>103</v>
      </c>
      <c r="I30" s="224" t="s">
        <v>104</v>
      </c>
      <c r="J30" s="224" t="s">
        <v>105</v>
      </c>
      <c r="K30" s="224" t="s">
        <v>106</v>
      </c>
      <c r="L30" s="224" t="s">
        <v>107</v>
      </c>
      <c r="M30" s="224" t="s">
        <v>108</v>
      </c>
      <c r="N30" s="303" t="s">
        <v>109</v>
      </c>
      <c r="O30" s="303" t="s">
        <v>119</v>
      </c>
      <c r="P30" s="303" t="s">
        <v>120</v>
      </c>
      <c r="Q30" s="303" t="s">
        <v>20</v>
      </c>
      <c r="R30" s="239" t="s">
        <v>110</v>
      </c>
    </row>
    <row r="31" spans="4:19" x14ac:dyDescent="0.35">
      <c r="D31" s="227" t="s">
        <v>95</v>
      </c>
      <c r="E31" s="228">
        <v>3788.62</v>
      </c>
      <c r="F31" s="228">
        <v>804.15</v>
      </c>
      <c r="G31" s="228"/>
      <c r="H31" s="228"/>
      <c r="I31" s="228"/>
      <c r="J31" s="228"/>
      <c r="K31" s="228"/>
      <c r="L31" s="228">
        <v>4.8</v>
      </c>
      <c r="M31" s="228"/>
      <c r="N31" s="228"/>
      <c r="O31" s="228"/>
      <c r="P31" s="228"/>
      <c r="Q31" s="228"/>
      <c r="R31" s="240">
        <f>SUM(E31:Q31)</f>
        <v>4597.57</v>
      </c>
    </row>
    <row r="32" spans="4:19" x14ac:dyDescent="0.35">
      <c r="D32" s="227" t="s">
        <v>96</v>
      </c>
      <c r="E32" s="228"/>
      <c r="F32" s="228"/>
      <c r="G32" s="228"/>
      <c r="H32" s="228"/>
      <c r="I32" s="228"/>
      <c r="J32" s="228"/>
      <c r="K32" s="228"/>
      <c r="L32" s="228">
        <v>48.8</v>
      </c>
      <c r="M32" s="228"/>
      <c r="N32" s="228"/>
      <c r="O32" s="228"/>
      <c r="P32" s="228"/>
      <c r="Q32" s="228"/>
      <c r="R32" s="240">
        <f t="shared" ref="R32:R36" si="4">SUM(E32:Q32)</f>
        <v>48.8</v>
      </c>
    </row>
    <row r="33" spans="4:18" x14ac:dyDescent="0.35">
      <c r="D33" s="227" t="s">
        <v>111</v>
      </c>
      <c r="E33" s="228">
        <v>5320.53</v>
      </c>
      <c r="F33" s="228">
        <v>212.22</v>
      </c>
      <c r="G33" s="228"/>
      <c r="H33" s="228"/>
      <c r="I33" s="228"/>
      <c r="J33" s="228"/>
      <c r="K33" s="228"/>
      <c r="L33" s="228">
        <v>39.75</v>
      </c>
      <c r="M33" s="228"/>
      <c r="N33" s="228"/>
      <c r="O33" s="228"/>
      <c r="P33" s="228"/>
      <c r="Q33" s="228"/>
      <c r="R33" s="240">
        <f t="shared" si="4"/>
        <v>5572.5</v>
      </c>
    </row>
    <row r="34" spans="4:18" x14ac:dyDescent="0.35">
      <c r="D34" s="227" t="s">
        <v>97</v>
      </c>
      <c r="E34" s="228">
        <v>23555.919999999998</v>
      </c>
      <c r="F34" s="228"/>
      <c r="G34" s="228">
        <v>84</v>
      </c>
      <c r="H34" s="228"/>
      <c r="I34" s="228"/>
      <c r="J34" s="228"/>
      <c r="K34" s="228"/>
      <c r="L34" s="228"/>
      <c r="M34" s="228"/>
      <c r="N34" s="228">
        <v>18959.009999999998</v>
      </c>
      <c r="O34" s="228">
        <v>8386.2999999999993</v>
      </c>
      <c r="P34" s="228">
        <v>2157.11</v>
      </c>
      <c r="Q34" s="228">
        <v>721.2</v>
      </c>
      <c r="R34" s="240">
        <f>SUM(E34:Q34)</f>
        <v>53863.539999999994</v>
      </c>
    </row>
    <row r="35" spans="4:18" x14ac:dyDescent="0.35">
      <c r="D35" s="227" t="s">
        <v>99</v>
      </c>
      <c r="E35" s="228"/>
      <c r="F35" s="228"/>
      <c r="G35" s="228"/>
      <c r="H35" s="228"/>
      <c r="I35" s="228"/>
      <c r="J35" s="228"/>
      <c r="K35" s="228"/>
      <c r="L35" s="228"/>
      <c r="M35" s="228"/>
      <c r="N35" s="228"/>
      <c r="O35" s="228"/>
      <c r="P35" s="228"/>
      <c r="Q35" s="228"/>
      <c r="R35" s="240">
        <f t="shared" si="4"/>
        <v>0</v>
      </c>
    </row>
    <row r="36" spans="4:18" x14ac:dyDescent="0.35">
      <c r="D36" s="227" t="s">
        <v>98</v>
      </c>
      <c r="E36" s="228">
        <v>810.6</v>
      </c>
      <c r="F36" s="228"/>
      <c r="G36" s="228"/>
      <c r="H36" s="228"/>
      <c r="I36" s="228"/>
      <c r="J36" s="228"/>
      <c r="K36" s="228"/>
      <c r="L36" s="228"/>
      <c r="M36" s="228"/>
      <c r="N36" s="228"/>
      <c r="O36" s="228"/>
      <c r="P36" s="228"/>
      <c r="Q36" s="228"/>
      <c r="R36" s="240">
        <f t="shared" si="4"/>
        <v>810.6</v>
      </c>
    </row>
    <row r="37" spans="4:18" x14ac:dyDescent="0.35">
      <c r="D37" s="241" t="s">
        <v>113</v>
      </c>
      <c r="E37" s="240">
        <f t="shared" ref="E37:Q37" si="5">SUM(E31:E36)</f>
        <v>33475.67</v>
      </c>
      <c r="F37" s="240">
        <f t="shared" si="5"/>
        <v>1016.37</v>
      </c>
      <c r="G37" s="240">
        <f t="shared" si="5"/>
        <v>84</v>
      </c>
      <c r="H37" s="240">
        <f t="shared" si="5"/>
        <v>0</v>
      </c>
      <c r="I37" s="240">
        <f t="shared" si="5"/>
        <v>0</v>
      </c>
      <c r="J37" s="240">
        <f t="shared" si="5"/>
        <v>0</v>
      </c>
      <c r="K37" s="240">
        <f t="shared" si="5"/>
        <v>0</v>
      </c>
      <c r="L37" s="240">
        <f t="shared" si="5"/>
        <v>93.35</v>
      </c>
      <c r="M37" s="240">
        <f t="shared" si="5"/>
        <v>0</v>
      </c>
      <c r="N37" s="240">
        <f t="shared" si="5"/>
        <v>18959.009999999998</v>
      </c>
      <c r="O37" s="240">
        <f t="shared" si="5"/>
        <v>8386.2999999999993</v>
      </c>
      <c r="P37" s="240">
        <f t="shared" si="5"/>
        <v>2157.11</v>
      </c>
      <c r="Q37" s="240">
        <f t="shared" si="5"/>
        <v>721.2</v>
      </c>
      <c r="R37" s="240">
        <f>SUM(R31:R36)</f>
        <v>64893.009999999987</v>
      </c>
    </row>
    <row r="38" spans="4:18" ht="21.75" thickBot="1" x14ac:dyDescent="0.4">
      <c r="D38" s="231"/>
      <c r="E38" s="232"/>
      <c r="F38" s="232"/>
      <c r="G38" s="232"/>
      <c r="H38" s="232"/>
      <c r="I38" s="232"/>
      <c r="J38" s="232"/>
      <c r="K38" s="232"/>
      <c r="L38" s="232"/>
      <c r="M38" s="232"/>
      <c r="N38" s="232"/>
      <c r="O38" s="232"/>
      <c r="P38" s="237"/>
    </row>
    <row r="39" spans="4:18" ht="21.75" thickBot="1" x14ac:dyDescent="0.4">
      <c r="D39" s="341" t="s">
        <v>183</v>
      </c>
      <c r="E39" s="342"/>
      <c r="F39" s="342"/>
      <c r="G39" s="342"/>
      <c r="H39" s="342"/>
      <c r="I39" s="342"/>
      <c r="J39" s="342"/>
      <c r="K39" s="342"/>
      <c r="L39" s="342"/>
      <c r="M39" s="342"/>
      <c r="N39" s="342"/>
      <c r="O39" s="342"/>
      <c r="P39" s="342"/>
      <c r="Q39" s="342"/>
      <c r="R39" s="343"/>
    </row>
    <row r="40" spans="4:18" x14ac:dyDescent="0.35">
      <c r="D40" s="304" t="s">
        <v>94</v>
      </c>
      <c r="E40" s="305" t="s">
        <v>100</v>
      </c>
      <c r="F40" s="305" t="s">
        <v>102</v>
      </c>
      <c r="G40" s="305" t="s">
        <v>101</v>
      </c>
      <c r="H40" s="305" t="s">
        <v>103</v>
      </c>
      <c r="I40" s="305" t="s">
        <v>104</v>
      </c>
      <c r="J40" s="305" t="s">
        <v>105</v>
      </c>
      <c r="K40" s="305" t="s">
        <v>106</v>
      </c>
      <c r="L40" s="305" t="s">
        <v>107</v>
      </c>
      <c r="M40" s="305" t="s">
        <v>108</v>
      </c>
      <c r="N40" s="235" t="s">
        <v>109</v>
      </c>
      <c r="O40" s="235" t="s">
        <v>119</v>
      </c>
      <c r="P40" s="235" t="s">
        <v>120</v>
      </c>
      <c r="Q40" s="235" t="s">
        <v>20</v>
      </c>
      <c r="R40" s="304" t="s">
        <v>110</v>
      </c>
    </row>
    <row r="41" spans="4:18" x14ac:dyDescent="0.35">
      <c r="D41" s="227" t="s">
        <v>95</v>
      </c>
      <c r="E41" s="228">
        <v>3746.62</v>
      </c>
      <c r="F41" s="228">
        <v>731.25</v>
      </c>
      <c r="G41" s="228"/>
      <c r="H41" s="228"/>
      <c r="I41" s="228"/>
      <c r="J41" s="228"/>
      <c r="K41" s="228"/>
      <c r="L41" s="228">
        <v>4.8</v>
      </c>
      <c r="M41" s="228"/>
      <c r="N41" s="228"/>
      <c r="O41" s="228"/>
      <c r="P41" s="228"/>
      <c r="Q41" s="228"/>
      <c r="R41" s="236">
        <f>SUM(E41:Q41)</f>
        <v>4482.67</v>
      </c>
    </row>
    <row r="42" spans="4:18" x14ac:dyDescent="0.35">
      <c r="D42" s="227" t="s">
        <v>96</v>
      </c>
      <c r="E42" s="228"/>
      <c r="F42" s="228"/>
      <c r="G42" s="228"/>
      <c r="H42" s="228"/>
      <c r="I42" s="228"/>
      <c r="J42" s="228"/>
      <c r="K42" s="228"/>
      <c r="L42" s="228">
        <v>48.8</v>
      </c>
      <c r="M42" s="228"/>
      <c r="N42" s="228"/>
      <c r="O42" s="228"/>
      <c r="P42" s="228"/>
      <c r="Q42" s="228"/>
      <c r="R42" s="236">
        <f t="shared" ref="R42:R46" si="6">SUM(E42:Q42)</f>
        <v>48.8</v>
      </c>
    </row>
    <row r="43" spans="4:18" x14ac:dyDescent="0.35">
      <c r="D43" s="227" t="s">
        <v>111</v>
      </c>
      <c r="E43" s="228">
        <v>5010.13</v>
      </c>
      <c r="F43" s="228">
        <v>188.22</v>
      </c>
      <c r="G43" s="228"/>
      <c r="H43" s="228"/>
      <c r="I43" s="228"/>
      <c r="J43" s="228"/>
      <c r="K43" s="228"/>
      <c r="L43" s="228">
        <v>39.75</v>
      </c>
      <c r="M43" s="228"/>
      <c r="N43" s="228"/>
      <c r="O43" s="228"/>
      <c r="P43" s="228"/>
      <c r="Q43" s="228"/>
      <c r="R43" s="236">
        <f t="shared" si="6"/>
        <v>5238.1000000000004</v>
      </c>
    </row>
    <row r="44" spans="4:18" x14ac:dyDescent="0.35">
      <c r="D44" s="227" t="s">
        <v>97</v>
      </c>
      <c r="E44" s="228">
        <v>21236.62</v>
      </c>
      <c r="F44" s="228"/>
      <c r="G44" s="228">
        <v>84</v>
      </c>
      <c r="H44" s="228"/>
      <c r="I44" s="228"/>
      <c r="J44" s="228"/>
      <c r="K44" s="228"/>
      <c r="L44" s="228"/>
      <c r="M44" s="228"/>
      <c r="N44" s="228">
        <v>18521.91</v>
      </c>
      <c r="O44" s="228">
        <v>6212.86</v>
      </c>
      <c r="P44" s="228">
        <v>1937.91</v>
      </c>
      <c r="Q44" s="228">
        <v>665.85</v>
      </c>
      <c r="R44" s="236">
        <f>SUM(E44:Q44)</f>
        <v>48659.15</v>
      </c>
    </row>
    <row r="45" spans="4:18" x14ac:dyDescent="0.35">
      <c r="D45" s="227" t="s">
        <v>99</v>
      </c>
      <c r="E45" s="228">
        <v>625.62</v>
      </c>
      <c r="F45" s="228"/>
      <c r="G45" s="228"/>
      <c r="H45" s="228"/>
      <c r="I45" s="228"/>
      <c r="J45" s="228"/>
      <c r="K45" s="228"/>
      <c r="L45" s="228"/>
      <c r="M45" s="228"/>
      <c r="N45" s="228"/>
      <c r="O45" s="228"/>
      <c r="P45" s="228"/>
      <c r="Q45" s="228"/>
      <c r="R45" s="236">
        <f t="shared" si="6"/>
        <v>625.62</v>
      </c>
    </row>
    <row r="46" spans="4:18" x14ac:dyDescent="0.35">
      <c r="D46" s="227" t="s">
        <v>98</v>
      </c>
      <c r="E46" s="228">
        <v>810.6</v>
      </c>
      <c r="F46" s="228"/>
      <c r="G46" s="228"/>
      <c r="H46" s="228"/>
      <c r="I46" s="228"/>
      <c r="J46" s="228"/>
      <c r="K46" s="228"/>
      <c r="L46" s="228"/>
      <c r="M46" s="228"/>
      <c r="N46" s="228"/>
      <c r="O46" s="228"/>
      <c r="P46" s="228"/>
      <c r="Q46" s="228"/>
      <c r="R46" s="236">
        <f t="shared" si="6"/>
        <v>810.6</v>
      </c>
    </row>
    <row r="47" spans="4:18" x14ac:dyDescent="0.35">
      <c r="D47" s="238" t="s">
        <v>113</v>
      </c>
      <c r="E47" s="236">
        <f t="shared" ref="E47:Q47" si="7">SUM(E41:E45)</f>
        <v>30618.989999999998</v>
      </c>
      <c r="F47" s="236">
        <f t="shared" si="7"/>
        <v>919.47</v>
      </c>
      <c r="G47" s="236">
        <f t="shared" si="7"/>
        <v>84</v>
      </c>
      <c r="H47" s="236">
        <f t="shared" si="7"/>
        <v>0</v>
      </c>
      <c r="I47" s="236">
        <f t="shared" si="7"/>
        <v>0</v>
      </c>
      <c r="J47" s="236">
        <f t="shared" si="7"/>
        <v>0</v>
      </c>
      <c r="K47" s="236">
        <f t="shared" si="7"/>
        <v>0</v>
      </c>
      <c r="L47" s="236">
        <f t="shared" si="7"/>
        <v>93.35</v>
      </c>
      <c r="M47" s="236">
        <f t="shared" si="7"/>
        <v>0</v>
      </c>
      <c r="N47" s="236">
        <f t="shared" si="7"/>
        <v>18521.91</v>
      </c>
      <c r="O47" s="236">
        <f t="shared" si="7"/>
        <v>6212.86</v>
      </c>
      <c r="P47" s="236">
        <f t="shared" si="7"/>
        <v>1937.91</v>
      </c>
      <c r="Q47" s="236">
        <f t="shared" si="7"/>
        <v>665.85</v>
      </c>
      <c r="R47" s="236">
        <f>SUM(R41:R46)</f>
        <v>59864.94</v>
      </c>
    </row>
    <row r="49" spans="4:18" ht="21.75" thickBot="1" x14ac:dyDescent="0.4"/>
    <row r="50" spans="4:18" ht="21.75" thickBot="1" x14ac:dyDescent="0.4">
      <c r="D50" s="350" t="s">
        <v>184</v>
      </c>
      <c r="E50" s="351"/>
      <c r="F50" s="351"/>
      <c r="G50" s="351"/>
      <c r="H50" s="351"/>
      <c r="I50" s="351"/>
      <c r="J50" s="351"/>
      <c r="K50" s="351"/>
      <c r="L50" s="351"/>
      <c r="M50" s="351"/>
      <c r="N50" s="351"/>
      <c r="O50" s="351"/>
      <c r="P50" s="351"/>
      <c r="Q50" s="351"/>
      <c r="R50" s="352"/>
    </row>
    <row r="52" spans="4:18" x14ac:dyDescent="0.35">
      <c r="D52" s="223" t="s">
        <v>94</v>
      </c>
      <c r="E52" s="224" t="s">
        <v>100</v>
      </c>
      <c r="F52" s="224" t="s">
        <v>102</v>
      </c>
      <c r="G52" s="224" t="s">
        <v>101</v>
      </c>
      <c r="H52" s="224" t="s">
        <v>103</v>
      </c>
      <c r="I52" s="224" t="s">
        <v>104</v>
      </c>
      <c r="J52" s="224" t="s">
        <v>105</v>
      </c>
      <c r="K52" s="224" t="s">
        <v>106</v>
      </c>
      <c r="L52" s="224" t="s">
        <v>107</v>
      </c>
      <c r="M52" s="224" t="s">
        <v>108</v>
      </c>
      <c r="N52" s="303" t="s">
        <v>109</v>
      </c>
      <c r="O52" s="303" t="s">
        <v>119</v>
      </c>
      <c r="P52" s="303" t="s">
        <v>120</v>
      </c>
      <c r="Q52" s="303" t="s">
        <v>20</v>
      </c>
      <c r="R52" s="242" t="s">
        <v>110</v>
      </c>
    </row>
    <row r="53" spans="4:18" x14ac:dyDescent="0.35">
      <c r="D53" s="227" t="s">
        <v>96</v>
      </c>
      <c r="E53" s="228">
        <v>100.05</v>
      </c>
      <c r="F53" s="228"/>
      <c r="G53" s="228"/>
      <c r="H53" s="228"/>
      <c r="I53" s="228"/>
      <c r="J53" s="228"/>
      <c r="K53" s="228"/>
      <c r="L53" s="228">
        <v>3533.45</v>
      </c>
      <c r="M53" s="228"/>
      <c r="N53" s="228"/>
      <c r="O53" s="228"/>
      <c r="P53" s="228"/>
      <c r="Q53" s="228"/>
      <c r="R53" s="243">
        <f>SUM(E53:N53)</f>
        <v>3633.5</v>
      </c>
    </row>
    <row r="54" spans="4:18" x14ac:dyDescent="0.35">
      <c r="D54" s="227" t="s">
        <v>111</v>
      </c>
      <c r="E54" s="228">
        <v>795.71</v>
      </c>
      <c r="F54" s="228">
        <v>42.72</v>
      </c>
      <c r="G54" s="228"/>
      <c r="H54" s="228"/>
      <c r="I54" s="228"/>
      <c r="J54" s="228"/>
      <c r="K54" s="228"/>
      <c r="L54" s="228">
        <v>6719.21</v>
      </c>
      <c r="M54" s="228"/>
      <c r="N54" s="228">
        <v>13559.73</v>
      </c>
      <c r="O54" s="228">
        <v>16373.06</v>
      </c>
      <c r="P54" s="228">
        <v>757.4</v>
      </c>
      <c r="Q54" s="228">
        <v>271.48</v>
      </c>
      <c r="R54" s="243">
        <f>SUM(E54:Q54)</f>
        <v>38519.310000000005</v>
      </c>
    </row>
    <row r="55" spans="4:18" x14ac:dyDescent="0.35">
      <c r="D55" s="227" t="s">
        <v>115</v>
      </c>
      <c r="E55" s="228"/>
      <c r="F55" s="228"/>
      <c r="G55" s="228"/>
      <c r="H55" s="228"/>
      <c r="I55" s="228"/>
      <c r="J55" s="228"/>
      <c r="K55" s="228"/>
      <c r="L55" s="228">
        <v>112</v>
      </c>
      <c r="M55" s="228"/>
      <c r="N55" s="228"/>
      <c r="O55" s="228"/>
      <c r="P55" s="228"/>
      <c r="Q55" s="228"/>
      <c r="R55" s="243">
        <f>SUM(E55:N55)</f>
        <v>112</v>
      </c>
    </row>
    <row r="56" spans="4:18" x14ac:dyDescent="0.35">
      <c r="D56" s="244" t="s">
        <v>114</v>
      </c>
      <c r="E56" s="243">
        <f t="shared" ref="E56:N56" si="8">SUM(E53:E55)</f>
        <v>895.76</v>
      </c>
      <c r="F56" s="243">
        <f t="shared" si="8"/>
        <v>42.72</v>
      </c>
      <c r="G56" s="243">
        <f t="shared" si="8"/>
        <v>0</v>
      </c>
      <c r="H56" s="243">
        <f t="shared" si="8"/>
        <v>0</v>
      </c>
      <c r="I56" s="243">
        <f t="shared" si="8"/>
        <v>0</v>
      </c>
      <c r="J56" s="243">
        <f t="shared" si="8"/>
        <v>0</v>
      </c>
      <c r="K56" s="243">
        <f t="shared" si="8"/>
        <v>0</v>
      </c>
      <c r="L56" s="243">
        <f t="shared" si="8"/>
        <v>10364.66</v>
      </c>
      <c r="M56" s="243">
        <f t="shared" si="8"/>
        <v>0</v>
      </c>
      <c r="N56" s="243">
        <f t="shared" si="8"/>
        <v>13559.73</v>
      </c>
      <c r="O56" s="243"/>
      <c r="P56" s="243"/>
      <c r="Q56" s="243"/>
      <c r="R56" s="243">
        <f>SUM(R53:R55)</f>
        <v>42264.810000000005</v>
      </c>
    </row>
    <row r="57" spans="4:18" ht="21.75" thickBot="1" x14ac:dyDescent="0.4"/>
    <row r="58" spans="4:18" ht="21.75" thickBot="1" x14ac:dyDescent="0.4">
      <c r="D58" s="341" t="s">
        <v>185</v>
      </c>
      <c r="E58" s="342"/>
      <c r="F58" s="342"/>
      <c r="G58" s="342"/>
      <c r="H58" s="342"/>
      <c r="I58" s="342"/>
      <c r="J58" s="342"/>
      <c r="K58" s="342"/>
      <c r="L58" s="342"/>
      <c r="M58" s="342"/>
      <c r="N58" s="342"/>
      <c r="O58" s="342"/>
      <c r="P58" s="342"/>
      <c r="Q58" s="342"/>
      <c r="R58" s="343"/>
    </row>
    <row r="59" spans="4:18" x14ac:dyDescent="0.35">
      <c r="D59" s="304" t="s">
        <v>94</v>
      </c>
      <c r="E59" s="305" t="s">
        <v>100</v>
      </c>
      <c r="F59" s="305" t="s">
        <v>102</v>
      </c>
      <c r="G59" s="305" t="s">
        <v>101</v>
      </c>
      <c r="H59" s="305" t="s">
        <v>103</v>
      </c>
      <c r="I59" s="305" t="s">
        <v>104</v>
      </c>
      <c r="J59" s="305" t="s">
        <v>105</v>
      </c>
      <c r="K59" s="305" t="s">
        <v>106</v>
      </c>
      <c r="L59" s="305" t="s">
        <v>107</v>
      </c>
      <c r="M59" s="305" t="s">
        <v>108</v>
      </c>
      <c r="N59" s="235" t="s">
        <v>109</v>
      </c>
      <c r="O59" s="235" t="s">
        <v>119</v>
      </c>
      <c r="P59" s="235" t="s">
        <v>120</v>
      </c>
      <c r="Q59" s="235" t="s">
        <v>20</v>
      </c>
      <c r="R59" s="304" t="s">
        <v>110</v>
      </c>
    </row>
    <row r="60" spans="4:18" x14ac:dyDescent="0.35">
      <c r="D60" s="227" t="s">
        <v>96</v>
      </c>
      <c r="E60" s="228"/>
      <c r="F60" s="228">
        <v>100.05</v>
      </c>
      <c r="G60" s="228"/>
      <c r="H60" s="228"/>
      <c r="I60" s="228"/>
      <c r="J60" s="228"/>
      <c r="K60" s="228"/>
      <c r="L60" s="228">
        <v>3510.21</v>
      </c>
      <c r="M60" s="228"/>
      <c r="N60" s="228"/>
      <c r="O60" s="228"/>
      <c r="P60" s="228"/>
      <c r="Q60" s="228"/>
      <c r="R60" s="236">
        <f>SUM(E60:N60)</f>
        <v>3610.26</v>
      </c>
    </row>
    <row r="61" spans="4:18" x14ac:dyDescent="0.35">
      <c r="D61" s="227" t="s">
        <v>111</v>
      </c>
      <c r="E61" s="228">
        <v>795.71</v>
      </c>
      <c r="F61" s="228"/>
      <c r="G61" s="228"/>
      <c r="H61" s="228"/>
      <c r="I61" s="228"/>
      <c r="J61" s="228"/>
      <c r="K61" s="228"/>
      <c r="L61" s="228">
        <v>6719.21</v>
      </c>
      <c r="M61" s="228"/>
      <c r="N61" s="228">
        <v>12091.49</v>
      </c>
      <c r="O61" s="228">
        <v>15689.62</v>
      </c>
      <c r="P61" s="228">
        <v>757.4</v>
      </c>
      <c r="Q61" s="228">
        <v>261.24</v>
      </c>
      <c r="R61" s="236">
        <f>SUM(E61:Q61)</f>
        <v>36314.67</v>
      </c>
    </row>
    <row r="62" spans="4:18" x14ac:dyDescent="0.35">
      <c r="D62" s="227" t="s">
        <v>115</v>
      </c>
      <c r="E62" s="228"/>
      <c r="F62" s="228"/>
      <c r="G62" s="228"/>
      <c r="H62" s="228"/>
      <c r="I62" s="228"/>
      <c r="J62" s="228"/>
      <c r="K62" s="228"/>
      <c r="L62" s="228">
        <v>112</v>
      </c>
      <c r="M62" s="228"/>
      <c r="N62" s="228"/>
      <c r="O62" s="228"/>
      <c r="P62" s="228"/>
      <c r="Q62" s="228"/>
      <c r="R62" s="236">
        <f>SUM(E62:N62)</f>
        <v>112</v>
      </c>
    </row>
    <row r="63" spans="4:18" x14ac:dyDescent="0.35">
      <c r="D63" s="238" t="s">
        <v>114</v>
      </c>
      <c r="E63" s="236">
        <f t="shared" ref="E63:Q63" si="9">SUM(E60:E62)</f>
        <v>795.71</v>
      </c>
      <c r="F63" s="236">
        <f t="shared" si="9"/>
        <v>100.05</v>
      </c>
      <c r="G63" s="236">
        <f t="shared" si="9"/>
        <v>0</v>
      </c>
      <c r="H63" s="236">
        <f t="shared" si="9"/>
        <v>0</v>
      </c>
      <c r="I63" s="236">
        <f t="shared" si="9"/>
        <v>0</v>
      </c>
      <c r="J63" s="236">
        <f t="shared" si="9"/>
        <v>0</v>
      </c>
      <c r="K63" s="236">
        <f t="shared" si="9"/>
        <v>0</v>
      </c>
      <c r="L63" s="236">
        <f t="shared" si="9"/>
        <v>10341.42</v>
      </c>
      <c r="M63" s="236">
        <f t="shared" si="9"/>
        <v>0</v>
      </c>
      <c r="N63" s="236">
        <f t="shared" si="9"/>
        <v>12091.49</v>
      </c>
      <c r="O63" s="236">
        <f t="shared" si="9"/>
        <v>15689.62</v>
      </c>
      <c r="P63" s="236">
        <f t="shared" si="9"/>
        <v>757.4</v>
      </c>
      <c r="Q63" s="236">
        <f t="shared" si="9"/>
        <v>261.24</v>
      </c>
      <c r="R63" s="236">
        <f>SUM(R60:R62)</f>
        <v>40036.93</v>
      </c>
    </row>
    <row r="65" spans="4:18" x14ac:dyDescent="0.35">
      <c r="D65" s="337" t="s">
        <v>186</v>
      </c>
      <c r="E65" s="338"/>
      <c r="F65" s="338"/>
      <c r="G65" s="338"/>
      <c r="H65" s="338"/>
      <c r="I65" s="338"/>
      <c r="J65" s="338"/>
      <c r="K65" s="338"/>
      <c r="L65" s="338"/>
      <c r="M65" s="338"/>
      <c r="N65" s="338"/>
      <c r="O65" s="338"/>
      <c r="P65" s="338"/>
      <c r="Q65" s="338"/>
      <c r="R65" s="307">
        <f>R13+R37+R56</f>
        <v>369709.91000000003</v>
      </c>
    </row>
    <row r="66" spans="4:18" x14ac:dyDescent="0.35">
      <c r="D66" s="339" t="s">
        <v>187</v>
      </c>
      <c r="E66" s="340"/>
      <c r="F66" s="340"/>
      <c r="G66" s="340"/>
      <c r="H66" s="340"/>
      <c r="I66" s="340"/>
      <c r="J66" s="340"/>
      <c r="K66" s="340"/>
      <c r="L66" s="340"/>
      <c r="M66" s="340"/>
      <c r="N66" s="340"/>
      <c r="O66" s="340"/>
      <c r="P66" s="340"/>
      <c r="Q66" s="340"/>
      <c r="R66" s="308">
        <f>R23+R47+R63</f>
        <v>360208.99000000005</v>
      </c>
    </row>
    <row r="68" spans="4:18" x14ac:dyDescent="0.35">
      <c r="D68" s="222" t="s">
        <v>123</v>
      </c>
    </row>
    <row r="69" spans="4:18" x14ac:dyDescent="0.35">
      <c r="D69" s="222" t="s">
        <v>124</v>
      </c>
    </row>
  </sheetData>
  <mergeCells count="8">
    <mergeCell ref="D65:Q65"/>
    <mergeCell ref="D66:Q66"/>
    <mergeCell ref="D15:R15"/>
    <mergeCell ref="D5:R5"/>
    <mergeCell ref="D28:R28"/>
    <mergeCell ref="D39:R39"/>
    <mergeCell ref="D58:R58"/>
    <mergeCell ref="D50:R5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T24"/>
  <sheetViews>
    <sheetView showGridLines="0" topLeftCell="D1" zoomScale="115" zoomScaleNormal="115" workbookViewId="0">
      <selection activeCell="L11" sqref="L11"/>
    </sheetView>
  </sheetViews>
  <sheetFormatPr baseColWidth="10" defaultRowHeight="15" x14ac:dyDescent="0.25"/>
  <cols>
    <col min="1" max="1" width="5" customWidth="1"/>
    <col min="2" max="2" width="16.42578125" customWidth="1"/>
    <col min="3" max="3" width="36.7109375" customWidth="1"/>
    <col min="4" max="4" width="20.42578125" customWidth="1"/>
    <col min="5" max="5" width="3.140625" customWidth="1"/>
    <col min="6" max="6" width="17.85546875" customWidth="1"/>
    <col min="7" max="7" width="20.7109375" customWidth="1"/>
    <col min="8" max="8" width="15" customWidth="1"/>
    <col min="9" max="9" width="14.5703125" customWidth="1"/>
    <col min="10" max="10" width="14.140625" customWidth="1"/>
    <col min="11" max="11" width="12.42578125" customWidth="1"/>
    <col min="12" max="12" width="15.140625" customWidth="1"/>
    <col min="13" max="13" width="14" customWidth="1"/>
    <col min="17" max="17" width="13.42578125" customWidth="1"/>
    <col min="18" max="19" width="12.5703125" customWidth="1"/>
    <col min="20" max="20" width="13" customWidth="1"/>
  </cols>
  <sheetData>
    <row r="1" spans="2:20" x14ac:dyDescent="0.25">
      <c r="F1" s="217"/>
      <c r="G1" s="217"/>
      <c r="H1" s="217"/>
      <c r="I1" s="217"/>
      <c r="J1" s="217"/>
      <c r="K1" s="217"/>
      <c r="L1" s="217"/>
      <c r="M1" s="217"/>
      <c r="N1" s="217"/>
      <c r="O1" s="217"/>
      <c r="P1" s="217"/>
      <c r="Q1" s="217"/>
      <c r="R1" s="217"/>
      <c r="S1" s="217"/>
      <c r="T1" s="217"/>
    </row>
    <row r="2" spans="2:20" x14ac:dyDescent="0.25">
      <c r="F2" s="217"/>
      <c r="G2" s="217"/>
      <c r="H2" s="217"/>
      <c r="I2" s="217"/>
      <c r="J2" s="217"/>
      <c r="K2" s="217"/>
      <c r="L2" s="217"/>
      <c r="M2" s="217"/>
      <c r="N2" s="217"/>
      <c r="O2" s="217"/>
      <c r="P2" s="217"/>
      <c r="Q2" s="217"/>
      <c r="R2" s="217"/>
      <c r="S2" s="217"/>
      <c r="T2" s="217"/>
    </row>
    <row r="3" spans="2:20" x14ac:dyDescent="0.25">
      <c r="F3" s="217"/>
      <c r="G3" s="217"/>
      <c r="H3" s="217"/>
      <c r="I3" s="217"/>
      <c r="J3" s="217"/>
      <c r="K3" s="217"/>
      <c r="L3" s="217"/>
      <c r="M3" s="217"/>
      <c r="N3" s="217"/>
      <c r="O3" s="217"/>
      <c r="P3" s="217"/>
      <c r="Q3" s="217"/>
      <c r="R3" s="217"/>
      <c r="S3" s="217"/>
      <c r="T3" s="217"/>
    </row>
    <row r="4" spans="2:20" x14ac:dyDescent="0.25">
      <c r="F4" s="217"/>
      <c r="G4" s="217"/>
      <c r="H4" s="217"/>
      <c r="I4" s="217"/>
      <c r="J4" s="217"/>
      <c r="K4" s="217"/>
      <c r="L4" s="217"/>
      <c r="M4" s="217"/>
      <c r="N4" s="217"/>
      <c r="O4" s="217"/>
      <c r="P4" s="217"/>
      <c r="Q4" s="217"/>
      <c r="R4" s="217"/>
      <c r="S4" s="217"/>
      <c r="T4" s="217"/>
    </row>
    <row r="5" spans="2:20" ht="16.5" customHeight="1" thickBot="1" x14ac:dyDescent="0.3">
      <c r="F5" s="412" t="s">
        <v>175</v>
      </c>
      <c r="G5" s="413"/>
      <c r="H5" s="413"/>
      <c r="I5" s="413"/>
      <c r="J5" s="413"/>
      <c r="K5" s="413"/>
      <c r="L5" s="413"/>
      <c r="M5" s="414"/>
      <c r="N5" s="217"/>
      <c r="O5" s="217"/>
      <c r="P5" s="217"/>
      <c r="Q5" s="217"/>
      <c r="R5" s="217"/>
      <c r="S5" s="217"/>
      <c r="T5" s="217"/>
    </row>
    <row r="6" spans="2:20" ht="19.5" customHeight="1" thickBot="1" x14ac:dyDescent="0.3">
      <c r="B6" s="356" t="s">
        <v>177</v>
      </c>
      <c r="C6" s="360"/>
      <c r="D6" s="361"/>
      <c r="E6" s="13"/>
      <c r="F6" s="57"/>
      <c r="G6" s="57"/>
      <c r="H6" s="407" t="s">
        <v>87</v>
      </c>
      <c r="I6" s="408"/>
      <c r="J6" s="409" t="s">
        <v>88</v>
      </c>
      <c r="K6" s="409" t="s">
        <v>193</v>
      </c>
      <c r="L6" s="410" t="s">
        <v>194</v>
      </c>
      <c r="M6" s="411"/>
      <c r="Q6" s="215" t="s">
        <v>87</v>
      </c>
      <c r="R6" s="215" t="s">
        <v>87</v>
      </c>
      <c r="S6" s="215" t="s">
        <v>88</v>
      </c>
      <c r="T6" s="317" t="s">
        <v>193</v>
      </c>
    </row>
    <row r="7" spans="2:20" ht="12" customHeight="1" thickBot="1" x14ac:dyDescent="0.3">
      <c r="B7" s="13"/>
      <c r="C7" s="13"/>
      <c r="D7" s="13"/>
      <c r="E7" s="13"/>
      <c r="F7" s="57"/>
      <c r="G7" s="57"/>
      <c r="H7" s="53" t="s">
        <v>167</v>
      </c>
      <c r="I7" s="53" t="s">
        <v>176</v>
      </c>
      <c r="J7" s="53" t="s">
        <v>176</v>
      </c>
      <c r="K7" s="398" t="s">
        <v>176</v>
      </c>
      <c r="L7" s="405">
        <v>2020</v>
      </c>
      <c r="M7" s="406">
        <v>2019</v>
      </c>
      <c r="N7" s="309"/>
      <c r="O7" s="309"/>
      <c r="P7" s="309"/>
      <c r="Q7" s="53" t="s">
        <v>167</v>
      </c>
      <c r="R7" s="53" t="s">
        <v>176</v>
      </c>
      <c r="S7" s="53" t="s">
        <v>176</v>
      </c>
      <c r="T7" s="53" t="s">
        <v>176</v>
      </c>
    </row>
    <row r="8" spans="2:20" ht="18.75" customHeight="1" thickBot="1" x14ac:dyDescent="0.3">
      <c r="B8" s="357" t="s">
        <v>178</v>
      </c>
      <c r="C8" s="14" t="s">
        <v>13</v>
      </c>
      <c r="D8" s="15" t="s">
        <v>34</v>
      </c>
      <c r="E8" s="13"/>
      <c r="F8" s="57"/>
      <c r="G8" s="51" t="s">
        <v>13</v>
      </c>
      <c r="H8" s="52" t="s">
        <v>34</v>
      </c>
      <c r="I8" s="52" t="s">
        <v>34</v>
      </c>
      <c r="J8" s="58" t="s">
        <v>34</v>
      </c>
      <c r="K8" s="399" t="s">
        <v>34</v>
      </c>
      <c r="L8" s="418" t="s">
        <v>195</v>
      </c>
      <c r="M8" s="419" t="s">
        <v>195</v>
      </c>
      <c r="Q8" s="59" t="s">
        <v>28</v>
      </c>
      <c r="R8" s="59" t="s">
        <v>28</v>
      </c>
      <c r="S8" s="59" t="s">
        <v>28</v>
      </c>
      <c r="T8" s="59" t="s">
        <v>28</v>
      </c>
    </row>
    <row r="9" spans="2:20" ht="18" customHeight="1" thickBot="1" x14ac:dyDescent="0.3">
      <c r="B9" s="358"/>
      <c r="C9" s="16" t="s">
        <v>14</v>
      </c>
      <c r="D9" s="17">
        <f>'Expo Limon Mercados acum sem 36'!D8</f>
        <v>18132.469000000005</v>
      </c>
      <c r="E9" s="13"/>
      <c r="F9" s="353" t="s">
        <v>179</v>
      </c>
      <c r="G9" s="48" t="s">
        <v>29</v>
      </c>
      <c r="H9" s="60">
        <f>(Q9*15)/1000</f>
        <v>31657.83</v>
      </c>
      <c r="I9" s="199">
        <f>(R9*15)/1000</f>
        <v>33128.97</v>
      </c>
      <c r="J9" s="60">
        <f t="shared" ref="I9:K13" si="0">(S9*15)/1000</f>
        <v>30842.205000000002</v>
      </c>
      <c r="K9" s="400">
        <f>(T9*15)/1000</f>
        <v>19634.535</v>
      </c>
      <c r="L9" s="404">
        <f>+I9/J9-1</f>
        <v>7.4144017913116089E-2</v>
      </c>
      <c r="M9" s="404">
        <f>+I9/K9-1</f>
        <v>0.68728060022811843</v>
      </c>
      <c r="Q9" s="63">
        <v>2110522</v>
      </c>
      <c r="R9" s="63">
        <v>2208598</v>
      </c>
      <c r="S9" s="63">
        <v>2056147</v>
      </c>
      <c r="T9" s="63">
        <v>1308969</v>
      </c>
    </row>
    <row r="10" spans="2:20" ht="16.5" customHeight="1" thickBot="1" x14ac:dyDescent="0.3">
      <c r="B10" s="358"/>
      <c r="C10" s="16" t="s">
        <v>15</v>
      </c>
      <c r="D10" s="17">
        <f>'Expo Limon Mercados acum sem 36'!D9</f>
        <v>9157.358000000002</v>
      </c>
      <c r="E10" s="13"/>
      <c r="F10" s="354"/>
      <c r="G10" s="49" t="s">
        <v>19</v>
      </c>
      <c r="H10" s="60">
        <f>(Q10*15)/1000</f>
        <v>35299.425000000003</v>
      </c>
      <c r="I10" s="200">
        <f t="shared" si="0"/>
        <v>35597.595000000001</v>
      </c>
      <c r="J10" s="61">
        <f t="shared" si="0"/>
        <v>33381</v>
      </c>
      <c r="K10" s="401">
        <f t="shared" si="0"/>
        <v>26161.62</v>
      </c>
      <c r="L10" s="404">
        <f t="shared" ref="L10:L14" si="1">+I10/J10-1</f>
        <v>6.6402893861777779E-2</v>
      </c>
      <c r="M10" s="404">
        <f t="shared" ref="M10:M14" si="2">+I10/K10-1</f>
        <v>0.36068007256431378</v>
      </c>
      <c r="Q10" s="63">
        <v>2353295</v>
      </c>
      <c r="R10" s="63">
        <v>2373173</v>
      </c>
      <c r="S10" s="63">
        <v>2225400</v>
      </c>
      <c r="T10" s="63">
        <v>1744108</v>
      </c>
    </row>
    <row r="11" spans="2:20" ht="18.75" customHeight="1" thickBot="1" x14ac:dyDescent="0.3">
      <c r="B11" s="358"/>
      <c r="C11" s="16" t="s">
        <v>16</v>
      </c>
      <c r="D11" s="17">
        <f>'Expo Limon Mercados acum sem 36'!D10</f>
        <v>18999.009999999973</v>
      </c>
      <c r="E11" s="13"/>
      <c r="F11" s="354"/>
      <c r="G11" s="49" t="s">
        <v>30</v>
      </c>
      <c r="H11" s="60">
        <f>(Q11*15)/1000</f>
        <v>156438.84</v>
      </c>
      <c r="I11" s="200">
        <f t="shared" si="0"/>
        <v>162797.79</v>
      </c>
      <c r="J11" s="61">
        <f t="shared" si="0"/>
        <v>135421.41</v>
      </c>
      <c r="K11" s="401">
        <f t="shared" si="0"/>
        <v>78731.324999999997</v>
      </c>
      <c r="L11" s="415">
        <f t="shared" si="1"/>
        <v>0.20215695583143023</v>
      </c>
      <c r="M11" s="415">
        <f t="shared" si="2"/>
        <v>1.0677638792437447</v>
      </c>
      <c r="Q11" s="63">
        <v>10429256</v>
      </c>
      <c r="R11" s="63">
        <v>10853186</v>
      </c>
      <c r="S11" s="63">
        <v>9028094</v>
      </c>
      <c r="T11" s="63">
        <v>5248755</v>
      </c>
    </row>
    <row r="12" spans="2:20" ht="16.5" thickBot="1" x14ac:dyDescent="0.3">
      <c r="B12" s="358"/>
      <c r="C12" s="16" t="s">
        <v>17</v>
      </c>
      <c r="D12" s="17">
        <f>'Expo Limon Mercados acum sem 36'!D11</f>
        <v>64165.108793998217</v>
      </c>
      <c r="E12" s="13"/>
      <c r="F12" s="354"/>
      <c r="G12" s="49" t="s">
        <v>36</v>
      </c>
      <c r="H12" s="60">
        <f>(Q12*15)/1000</f>
        <v>19235.580000000002</v>
      </c>
      <c r="I12" s="200">
        <f t="shared" si="0"/>
        <v>20009.084999999999</v>
      </c>
      <c r="J12" s="61">
        <f t="shared" si="0"/>
        <v>17651.669999999998</v>
      </c>
      <c r="K12" s="401">
        <f t="shared" si="0"/>
        <v>11604.975</v>
      </c>
      <c r="L12" s="404">
        <f t="shared" si="1"/>
        <v>0.133551952874714</v>
      </c>
      <c r="M12" s="404">
        <f t="shared" si="2"/>
        <v>0.72418165485061348</v>
      </c>
      <c r="Q12" s="63">
        <v>1282372</v>
      </c>
      <c r="R12" s="63">
        <v>1333939</v>
      </c>
      <c r="S12" s="63">
        <v>1176778</v>
      </c>
      <c r="T12" s="63">
        <v>773665</v>
      </c>
    </row>
    <row r="13" spans="2:20" ht="16.5" thickBot="1" x14ac:dyDescent="0.3">
      <c r="B13" s="358"/>
      <c r="C13" s="47" t="s">
        <v>18</v>
      </c>
      <c r="D13" s="56">
        <f>SUM(D9:D12)</f>
        <v>110453.94579399819</v>
      </c>
      <c r="E13" s="13"/>
      <c r="F13" s="355"/>
      <c r="G13" s="50" t="s">
        <v>22</v>
      </c>
      <c r="H13" s="60">
        <f>(Q13*15)/1000</f>
        <v>153314.37</v>
      </c>
      <c r="I13" s="201">
        <f t="shared" si="0"/>
        <v>158679.76500000001</v>
      </c>
      <c r="J13" s="62">
        <f t="shared" si="0"/>
        <v>158419.845</v>
      </c>
      <c r="K13" s="402">
        <f t="shared" si="0"/>
        <v>137015.22</v>
      </c>
      <c r="L13" s="404">
        <f t="shared" si="1"/>
        <v>1.6407035368581901E-3</v>
      </c>
      <c r="M13" s="404">
        <f t="shared" si="2"/>
        <v>0.15811779888394883</v>
      </c>
      <c r="Q13" s="64">
        <f>141827+206783+8184684+1687664</f>
        <v>10220958</v>
      </c>
      <c r="R13" s="64">
        <f>150592+208164+8462356+1757539</f>
        <v>10578651</v>
      </c>
      <c r="S13" s="64">
        <f>159587+109663+8825098+1466975</f>
        <v>10561323</v>
      </c>
      <c r="T13" s="64">
        <f>120748+127452+6887366+1996797+1985</f>
        <v>9134348</v>
      </c>
    </row>
    <row r="14" spans="2:20" ht="16.5" customHeight="1" thickBot="1" x14ac:dyDescent="0.3">
      <c r="B14" s="358"/>
      <c r="C14" s="18" t="s">
        <v>23</v>
      </c>
      <c r="D14" s="19">
        <f>'Expo Limon Mercados acum sem 36'!D15</f>
        <v>4718.2240000000038</v>
      </c>
      <c r="E14" s="13"/>
      <c r="F14" s="40"/>
      <c r="G14" s="31" t="s">
        <v>6</v>
      </c>
      <c r="H14" s="417">
        <f>SUM(H9:H13)</f>
        <v>395946.04499999998</v>
      </c>
      <c r="I14" s="124">
        <f>SUM(I9:I13)</f>
        <v>410213.20500000002</v>
      </c>
      <c r="J14" s="245">
        <f>SUM(J9:J13)</f>
        <v>375716.13</v>
      </c>
      <c r="K14" s="403">
        <f>SUM(K9:K13)</f>
        <v>273147.67499999999</v>
      </c>
      <c r="L14" s="416">
        <f t="shared" si="1"/>
        <v>9.1816859180360533E-2</v>
      </c>
      <c r="M14" s="416">
        <f t="shared" si="2"/>
        <v>0.50180009769440659</v>
      </c>
      <c r="Q14" s="125">
        <f>SUM(Q9:Q13)</f>
        <v>26396403</v>
      </c>
      <c r="R14" s="125">
        <f>SUM(R9:R13)</f>
        <v>27347547</v>
      </c>
      <c r="S14" s="125">
        <f>SUM(S9:S13)</f>
        <v>25047742</v>
      </c>
      <c r="T14" s="125">
        <f>SUM(T9:T13)</f>
        <v>18209845</v>
      </c>
    </row>
    <row r="15" spans="2:20" ht="15.75" x14ac:dyDescent="0.25">
      <c r="B15" s="358"/>
      <c r="C15" s="18" t="s">
        <v>19</v>
      </c>
      <c r="D15" s="19">
        <f>'Expo Limon Mercados acum sem 36'!D13</f>
        <v>39901.731099999073</v>
      </c>
      <c r="E15" s="13"/>
      <c r="F15" s="12" t="s">
        <v>27</v>
      </c>
    </row>
    <row r="16" spans="2:20" ht="18.75" x14ac:dyDescent="0.3">
      <c r="B16" s="358"/>
      <c r="C16" s="18" t="s">
        <v>20</v>
      </c>
      <c r="D16" s="19">
        <f>'Expo Limon Mercados acum sem 36'!D14</f>
        <v>7220.5459999999794</v>
      </c>
      <c r="E16" s="13"/>
      <c r="F16" t="s">
        <v>48</v>
      </c>
      <c r="G16" s="25"/>
      <c r="H16" s="2"/>
      <c r="I16" s="2"/>
      <c r="J16" s="2"/>
    </row>
    <row r="17" spans="2:5" ht="15.75" x14ac:dyDescent="0.25">
      <c r="B17" s="358"/>
      <c r="C17" s="18" t="s">
        <v>21</v>
      </c>
      <c r="D17" s="19">
        <f>'Expo Limon Mercados acum sem 36'!D16</f>
        <v>72254.039247998269</v>
      </c>
      <c r="E17" s="13"/>
    </row>
    <row r="18" spans="2:5" ht="16.5" customHeight="1" x14ac:dyDescent="0.25">
      <c r="B18" s="358"/>
      <c r="C18" s="18" t="s">
        <v>36</v>
      </c>
      <c r="D18" s="19">
        <v>8294.75</v>
      </c>
      <c r="E18" s="13"/>
    </row>
    <row r="19" spans="2:5" ht="16.5" thickBot="1" x14ac:dyDescent="0.3">
      <c r="B19" s="359"/>
      <c r="C19" s="18" t="s">
        <v>37</v>
      </c>
      <c r="D19" s="19">
        <f>'Expo Limon Mercados acum sem 36'!D17-D18</f>
        <v>18992.704700000169</v>
      </c>
      <c r="E19" s="20"/>
    </row>
    <row r="20" spans="2:5" ht="16.5" thickBot="1" x14ac:dyDescent="0.3">
      <c r="B20" s="13"/>
      <c r="C20" s="21" t="s">
        <v>35</v>
      </c>
      <c r="D20" s="22">
        <f>SUM(D14:D19)</f>
        <v>151381.99504799751</v>
      </c>
      <c r="E20" s="13"/>
    </row>
    <row r="21" spans="2:5" ht="19.5" thickBot="1" x14ac:dyDescent="0.3">
      <c r="B21" s="13"/>
      <c r="C21" s="23" t="s">
        <v>6</v>
      </c>
      <c r="D21" s="65">
        <f>+D13+D20</f>
        <v>261835.9408419957</v>
      </c>
      <c r="E21" s="13"/>
    </row>
    <row r="22" spans="2:5" ht="20.25" customHeight="1" thickTop="1" x14ac:dyDescent="0.3">
      <c r="B22" s="2"/>
      <c r="C22" s="2"/>
      <c r="D22" s="2"/>
      <c r="E22" s="2"/>
    </row>
    <row r="23" spans="2:5" ht="15.75" x14ac:dyDescent="0.25">
      <c r="B23" s="12" t="s">
        <v>38</v>
      </c>
      <c r="C23" s="25"/>
      <c r="D23" s="26"/>
      <c r="E23" s="26"/>
    </row>
    <row r="24" spans="2:5" ht="15.75" x14ac:dyDescent="0.25">
      <c r="B24" t="s">
        <v>40</v>
      </c>
      <c r="C24" s="25"/>
      <c r="D24" s="26"/>
      <c r="E24" s="26"/>
    </row>
  </sheetData>
  <mergeCells count="6">
    <mergeCell ref="L6:M6"/>
    <mergeCell ref="F5:M5"/>
    <mergeCell ref="F9:F13"/>
    <mergeCell ref="H6:I6"/>
    <mergeCell ref="B8:B19"/>
    <mergeCell ref="B6:D6"/>
  </mergeCells>
  <phoneticPr fontId="28"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4:H24"/>
  <sheetViews>
    <sheetView showGridLines="0" topLeftCell="A4" zoomScaleNormal="100" workbookViewId="0">
      <selection activeCell="F23" sqref="F23"/>
    </sheetView>
  </sheetViews>
  <sheetFormatPr baseColWidth="10" defaultRowHeight="15" x14ac:dyDescent="0.25"/>
  <cols>
    <col min="1" max="1" width="6.5703125" customWidth="1"/>
    <col min="2" max="2" width="16.7109375" customWidth="1"/>
    <col min="3" max="4" width="14.7109375" customWidth="1"/>
    <col min="5" max="5" width="15.85546875" customWidth="1"/>
    <col min="6" max="6" width="16.140625" customWidth="1"/>
  </cols>
  <sheetData>
    <row r="4" spans="2:8" ht="15.75" x14ac:dyDescent="0.25">
      <c r="B4" s="13"/>
      <c r="C4" s="13"/>
      <c r="D4" s="13"/>
      <c r="E4" s="13"/>
      <c r="F4" s="13"/>
    </row>
    <row r="5" spans="2:8" ht="15.75" x14ac:dyDescent="0.25">
      <c r="B5" s="13"/>
      <c r="C5" s="13"/>
      <c r="D5" s="13"/>
      <c r="E5" s="13"/>
      <c r="F5" s="13"/>
    </row>
    <row r="6" spans="2:8" ht="15.75" x14ac:dyDescent="0.25">
      <c r="B6" s="13"/>
      <c r="C6" s="13"/>
      <c r="D6" s="13"/>
      <c r="E6" s="13"/>
      <c r="F6" s="13"/>
    </row>
    <row r="7" spans="2:8" ht="15.75" x14ac:dyDescent="0.25">
      <c r="B7" s="11" t="s">
        <v>192</v>
      </c>
      <c r="C7" s="11"/>
      <c r="D7" s="11"/>
      <c r="E7" s="11"/>
      <c r="F7" s="13"/>
    </row>
    <row r="8" spans="2:8" ht="16.5" thickBot="1" x14ac:dyDescent="0.3">
      <c r="B8" s="11"/>
      <c r="C8" s="11"/>
      <c r="D8" s="11"/>
      <c r="E8" s="11"/>
      <c r="F8" s="13"/>
    </row>
    <row r="9" spans="2:8" ht="16.5" thickBot="1" x14ac:dyDescent="0.3">
      <c r="B9" s="36"/>
      <c r="C9" s="37"/>
      <c r="D9" s="37"/>
      <c r="E9" s="38" t="s">
        <v>42</v>
      </c>
      <c r="F9" s="39" t="s">
        <v>43</v>
      </c>
    </row>
    <row r="10" spans="2:8" ht="15.75" x14ac:dyDescent="0.25">
      <c r="B10" s="366" t="s">
        <v>23</v>
      </c>
      <c r="C10" s="32" t="s">
        <v>32</v>
      </c>
      <c r="D10" s="33">
        <f>'Cargas RSA y ARG'!D14</f>
        <v>4718.2240000000038</v>
      </c>
      <c r="E10" s="368">
        <f>D10/D11-1</f>
        <v>-0.85758011794510958</v>
      </c>
      <c r="F10" s="362">
        <f>D10-D11</f>
        <v>-28410.745999999999</v>
      </c>
    </row>
    <row r="11" spans="2:8" ht="16.5" thickBot="1" x14ac:dyDescent="0.3">
      <c r="B11" s="367"/>
      <c r="C11" s="34" t="s">
        <v>33</v>
      </c>
      <c r="D11" s="35">
        <f>'Cargas RSA y ARG'!I9</f>
        <v>33128.97</v>
      </c>
      <c r="E11" s="369"/>
      <c r="F11" s="363"/>
      <c r="H11" s="46"/>
    </row>
    <row r="12" spans="2:8" ht="15.75" x14ac:dyDescent="0.25">
      <c r="B12" s="366" t="s">
        <v>30</v>
      </c>
      <c r="C12" s="32" t="s">
        <v>32</v>
      </c>
      <c r="D12" s="33">
        <f>'Cargas RSA y ARG'!D13</f>
        <v>110453.94579399819</v>
      </c>
      <c r="E12" s="368">
        <f t="shared" ref="E12:E18" si="0">D12/D13-1</f>
        <v>-0.32152674926362212</v>
      </c>
      <c r="F12" s="362">
        <f>D12-D13</f>
        <v>-52343.844206001813</v>
      </c>
    </row>
    <row r="13" spans="2:8" ht="16.5" customHeight="1" thickBot="1" x14ac:dyDescent="0.3">
      <c r="B13" s="367"/>
      <c r="C13" s="34" t="s">
        <v>33</v>
      </c>
      <c r="D13" s="35">
        <f>'Cargas RSA y ARG'!I11</f>
        <v>162797.79</v>
      </c>
      <c r="E13" s="369"/>
      <c r="F13" s="363"/>
    </row>
    <row r="14" spans="2:8" ht="15.75" x14ac:dyDescent="0.25">
      <c r="B14" s="366" t="s">
        <v>19</v>
      </c>
      <c r="C14" s="32" t="s">
        <v>32</v>
      </c>
      <c r="D14" s="33">
        <f>'Cargas RSA y ARG'!D15</f>
        <v>39901.731099999073</v>
      </c>
      <c r="E14" s="370">
        <f t="shared" si="0"/>
        <v>0.12091086771449233</v>
      </c>
      <c r="F14" s="364">
        <f>D14-D15</f>
        <v>4304.136099999072</v>
      </c>
    </row>
    <row r="15" spans="2:8" ht="16.5" customHeight="1" thickBot="1" x14ac:dyDescent="0.3">
      <c r="B15" s="367"/>
      <c r="C15" s="34" t="s">
        <v>33</v>
      </c>
      <c r="D15" s="35">
        <f>'Cargas RSA y ARG'!I10</f>
        <v>35597.595000000001</v>
      </c>
      <c r="E15" s="371"/>
      <c r="F15" s="365"/>
    </row>
    <row r="16" spans="2:8" ht="15.75" x14ac:dyDescent="0.25">
      <c r="B16" s="366" t="s">
        <v>36</v>
      </c>
      <c r="C16" s="32" t="s">
        <v>32</v>
      </c>
      <c r="D16" s="33">
        <f>'Cargas RSA y ARG'!D18+'Cargas RSA y ARG'!D17</f>
        <v>80548.789247998269</v>
      </c>
      <c r="E16" s="370">
        <f t="shared" si="0"/>
        <v>3.0256108286809855</v>
      </c>
      <c r="F16" s="364">
        <f>D16-D17</f>
        <v>60539.70424799827</v>
      </c>
    </row>
    <row r="17" spans="1:6" ht="16.5" thickBot="1" x14ac:dyDescent="0.3">
      <c r="B17" s="367"/>
      <c r="C17" s="34" t="s">
        <v>33</v>
      </c>
      <c r="D17" s="35">
        <f>'Cargas RSA y ARG'!I12</f>
        <v>20009.084999999999</v>
      </c>
      <c r="E17" s="371"/>
      <c r="F17" s="365"/>
    </row>
    <row r="18" spans="1:6" ht="15.75" x14ac:dyDescent="0.25">
      <c r="B18" s="366" t="s">
        <v>31</v>
      </c>
      <c r="C18" s="32" t="s">
        <v>32</v>
      </c>
      <c r="D18" s="33">
        <f>'Cargas RSA y ARG'!D19</f>
        <v>18992.704700000169</v>
      </c>
      <c r="E18" s="368">
        <f t="shared" si="0"/>
        <v>-0.88030796050145288</v>
      </c>
      <c r="F18" s="362">
        <f>D18-D19</f>
        <v>-139687.06029999984</v>
      </c>
    </row>
    <row r="19" spans="1:6" ht="16.5" thickBot="1" x14ac:dyDescent="0.3">
      <c r="B19" s="367"/>
      <c r="C19" s="34" t="s">
        <v>33</v>
      </c>
      <c r="D19" s="35">
        <f>'Cargas RSA y ARG'!I13</f>
        <v>158679.76500000001</v>
      </c>
      <c r="E19" s="369"/>
      <c r="F19" s="363"/>
    </row>
    <row r="20" spans="1:6" ht="18.75" x14ac:dyDescent="0.3">
      <c r="B20" s="2"/>
      <c r="C20" s="2"/>
      <c r="D20" s="2"/>
      <c r="E20" s="2"/>
    </row>
    <row r="21" spans="1:6" ht="18.75" x14ac:dyDescent="0.3">
      <c r="A21" s="12" t="s">
        <v>38</v>
      </c>
      <c r="B21" s="25"/>
      <c r="C21" s="2"/>
      <c r="D21" s="2"/>
      <c r="E21" s="2"/>
    </row>
    <row r="22" spans="1:6" ht="15.75" x14ac:dyDescent="0.25">
      <c r="A22" t="s">
        <v>47</v>
      </c>
      <c r="B22" s="25"/>
    </row>
    <row r="23" spans="1:6" x14ac:dyDescent="0.25">
      <c r="A23" t="s">
        <v>48</v>
      </c>
      <c r="B23" s="12"/>
    </row>
    <row r="24" spans="1:6" ht="18.75" x14ac:dyDescent="0.3">
      <c r="C24" s="25"/>
      <c r="D24" s="2"/>
      <c r="E24" s="2"/>
      <c r="F24" s="2"/>
    </row>
  </sheetData>
  <mergeCells count="15">
    <mergeCell ref="E10:E11"/>
    <mergeCell ref="E12:E13"/>
    <mergeCell ref="E14:E15"/>
    <mergeCell ref="E16:E17"/>
    <mergeCell ref="E18:E19"/>
    <mergeCell ref="B10:B11"/>
    <mergeCell ref="B12:B13"/>
    <mergeCell ref="B14:B15"/>
    <mergeCell ref="B16:B17"/>
    <mergeCell ref="B18:B19"/>
    <mergeCell ref="F10:F11"/>
    <mergeCell ref="F12:F13"/>
    <mergeCell ref="F14:F15"/>
    <mergeCell ref="F16:F17"/>
    <mergeCell ref="F18:F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
  <sheetViews>
    <sheetView workbookViewId="0">
      <selection activeCell="L16" sqref="L16"/>
    </sheetView>
  </sheetViews>
  <sheetFormatPr baseColWidth="10" defaultColWidth="10.7109375" defaultRowHeight="15" x14ac:dyDescent="0.25"/>
  <cols>
    <col min="1" max="1" width="10.7109375" style="253"/>
    <col min="2" max="2" width="16.28515625" style="253" customWidth="1"/>
    <col min="3" max="5" width="12.7109375" style="253" bestFit="1" customWidth="1"/>
    <col min="6" max="12" width="14.140625" style="253" bestFit="1" customWidth="1"/>
    <col min="13" max="13" width="14.7109375" style="253" customWidth="1"/>
    <col min="14" max="14" width="14.42578125" style="253" customWidth="1"/>
    <col min="15" max="15" width="12.5703125" style="253" customWidth="1"/>
    <col min="16" max="16" width="12.28515625" style="253" customWidth="1"/>
    <col min="17" max="18" width="12" customWidth="1"/>
  </cols>
  <sheetData>
    <row r="2" spans="1:18" ht="15.75" thickBot="1" x14ac:dyDescent="0.3"/>
    <row r="3" spans="1:18" ht="15.75" thickBot="1" x14ac:dyDescent="0.3">
      <c r="B3" s="254" t="s">
        <v>158</v>
      </c>
      <c r="C3" s="255">
        <v>22</v>
      </c>
      <c r="D3" s="255">
        <v>23</v>
      </c>
      <c r="E3" s="255">
        <v>24</v>
      </c>
      <c r="F3" s="255">
        <v>25</v>
      </c>
      <c r="G3" s="255">
        <v>26</v>
      </c>
      <c r="H3" s="255">
        <v>27</v>
      </c>
      <c r="I3" s="255">
        <v>28</v>
      </c>
      <c r="J3" s="255">
        <v>29</v>
      </c>
      <c r="K3" s="255">
        <v>30</v>
      </c>
      <c r="L3" s="256">
        <v>31</v>
      </c>
      <c r="M3" s="256">
        <v>32</v>
      </c>
      <c r="N3" s="256">
        <v>33</v>
      </c>
      <c r="O3" s="256">
        <v>34</v>
      </c>
      <c r="P3" s="256">
        <v>35</v>
      </c>
      <c r="Q3" s="256">
        <v>36</v>
      </c>
      <c r="R3" s="256">
        <v>37</v>
      </c>
    </row>
    <row r="4" spans="1:18" x14ac:dyDescent="0.25">
      <c r="A4" s="257" t="s">
        <v>159</v>
      </c>
      <c r="B4" s="258" t="s">
        <v>21</v>
      </c>
      <c r="C4" s="259">
        <v>18869.05</v>
      </c>
      <c r="D4" s="260">
        <f>5947.5908+C4</f>
        <v>24816.640800000001</v>
      </c>
      <c r="E4" s="260">
        <f>5806.2722+D4</f>
        <v>30622.913</v>
      </c>
      <c r="F4" s="260">
        <f>4428.1592+E4</f>
        <v>35051.072200000002</v>
      </c>
      <c r="G4" s="260">
        <f>6463.2186+F4</f>
        <v>41514.290800000002</v>
      </c>
      <c r="H4" s="260">
        <f>4210.057+G4</f>
        <v>45724.347800000003</v>
      </c>
      <c r="I4" s="260">
        <f>4931.57+H4</f>
        <v>50655.917800000003</v>
      </c>
      <c r="J4" s="260">
        <f>5253.48+I4</f>
        <v>55909.397800000006</v>
      </c>
      <c r="K4" s="260">
        <f>4517.761+J4</f>
        <v>60427.158800000005</v>
      </c>
      <c r="L4" s="261">
        <f>2931.6816+K4</f>
        <v>63358.840400000001</v>
      </c>
      <c r="M4" s="261">
        <f>3601.945+L4</f>
        <v>66960.785400000008</v>
      </c>
      <c r="N4" s="262">
        <f>2192.502+M4</f>
        <v>69153.287400000001</v>
      </c>
      <c r="O4" s="262">
        <f>1679.412+N4</f>
        <v>70832.699399999998</v>
      </c>
      <c r="P4" s="262">
        <f>948.996+O4</f>
        <v>71781.695399999997</v>
      </c>
      <c r="Q4" s="262">
        <f>472.332+P4</f>
        <v>72254.027399999992</v>
      </c>
      <c r="R4" s="262"/>
    </row>
    <row r="5" spans="1:18" x14ac:dyDescent="0.25">
      <c r="B5" s="263" t="s">
        <v>62</v>
      </c>
      <c r="C5" s="259">
        <v>5973.98</v>
      </c>
      <c r="D5" s="260">
        <f>4268.103+C5</f>
        <v>10242.082999999999</v>
      </c>
      <c r="E5" s="260">
        <f>5785.992+D5</f>
        <v>16028.074999999999</v>
      </c>
      <c r="F5" s="260">
        <f>8392.48600000001+E5</f>
        <v>24420.561000000009</v>
      </c>
      <c r="G5" s="260">
        <f>12017.23+F5</f>
        <v>36437.791000000012</v>
      </c>
      <c r="H5" s="260">
        <f>4390.269+G5</f>
        <v>40828.060000000012</v>
      </c>
      <c r="I5" s="260">
        <f>10751.689+H5</f>
        <v>51579.749000000011</v>
      </c>
      <c r="J5" s="260">
        <f>6904.945+I5</f>
        <v>58484.69400000001</v>
      </c>
      <c r="K5" s="260">
        <f>11443.419+J5</f>
        <v>69928.113000000012</v>
      </c>
      <c r="L5" s="259">
        <f>10719.75784+K5</f>
        <v>80647.870840000018</v>
      </c>
      <c r="M5" s="259">
        <f>7588.215+L5</f>
        <v>88236.085840000014</v>
      </c>
      <c r="N5" s="264">
        <f>8265.375+M5</f>
        <v>96501.460840000014</v>
      </c>
      <c r="O5" s="264">
        <f>8980.02968+N5</f>
        <v>105481.49052000002</v>
      </c>
      <c r="P5" s="264">
        <f>4231.805+O5</f>
        <v>109713.29552000001</v>
      </c>
      <c r="Q5" s="264">
        <f>740.643+P5</f>
        <v>110453.93852000001</v>
      </c>
      <c r="R5" s="264"/>
    </row>
    <row r="6" spans="1:18" x14ac:dyDescent="0.25">
      <c r="B6" s="263" t="s">
        <v>160</v>
      </c>
      <c r="C6" s="259">
        <v>15710.267</v>
      </c>
      <c r="D6" s="260">
        <f>2135.19+C6</f>
        <v>17845.456999999999</v>
      </c>
      <c r="E6" s="260">
        <f>761.634+D6</f>
        <v>18607.091</v>
      </c>
      <c r="F6" s="260">
        <f>2165.154+E6</f>
        <v>20772.244999999999</v>
      </c>
      <c r="G6" s="260">
        <f>2004.552+F6</f>
        <v>22776.796999999999</v>
      </c>
      <c r="H6" s="260">
        <f>1327.518+G6</f>
        <v>24104.314999999999</v>
      </c>
      <c r="I6" s="260">
        <f>1504.9391+H6</f>
        <v>25609.254099999998</v>
      </c>
      <c r="J6" s="260">
        <f>830.319+I6</f>
        <v>26439.573099999998</v>
      </c>
      <c r="K6" s="260">
        <f>2118.024+J6</f>
        <v>28557.597099999999</v>
      </c>
      <c r="L6" s="259">
        <f>1609.986+K6</f>
        <v>30167.5831</v>
      </c>
      <c r="M6" s="259">
        <f>2198.502+L6</f>
        <v>32366.0851</v>
      </c>
      <c r="N6" s="264">
        <f>2459.604+M6</f>
        <v>34825.689100000003</v>
      </c>
      <c r="O6" s="264">
        <f>1850.652+N6</f>
        <v>36676.341100000005</v>
      </c>
      <c r="P6" s="264">
        <f>2320.782+O6</f>
        <v>38997.123100000004</v>
      </c>
      <c r="Q6" s="264">
        <f>904.608+P6</f>
        <v>39901.731100000005</v>
      </c>
      <c r="R6" s="264"/>
    </row>
    <row r="7" spans="1:18" ht="15.75" thickBot="1" x14ac:dyDescent="0.3">
      <c r="B7" s="265" t="s">
        <v>161</v>
      </c>
      <c r="C7" s="259">
        <v>13970.4</v>
      </c>
      <c r="D7" s="260">
        <f>3642.5264+C7</f>
        <v>17612.9264</v>
      </c>
      <c r="E7" s="260">
        <f>1999.5376+D7</f>
        <v>19612.464</v>
      </c>
      <c r="F7" s="260">
        <f>1940.2308+E7</f>
        <v>21552.694800000001</v>
      </c>
      <c r="G7" s="260">
        <f>2794.5048+F7</f>
        <v>24347.1996</v>
      </c>
      <c r="H7" s="260">
        <f>2074.86+G7</f>
        <v>26422.059600000001</v>
      </c>
      <c r="I7" s="260">
        <f>1793.1648+H7</f>
        <v>28215.224399999999</v>
      </c>
      <c r="J7" s="260">
        <f>1328.12+I7</f>
        <v>29543.344399999998</v>
      </c>
      <c r="K7" s="260">
        <f>1632.9727+J7</f>
        <v>31176.317099999997</v>
      </c>
      <c r="L7" s="266">
        <f>2235.7568+K7</f>
        <v>33412.073899999996</v>
      </c>
      <c r="M7" s="266">
        <f>1187.7268+L7</f>
        <v>34599.800699999993</v>
      </c>
      <c r="N7" s="267">
        <f>1563.0192+M7</f>
        <v>36162.819899999995</v>
      </c>
      <c r="O7" s="267">
        <f>2293.408+N7</f>
        <v>38456.227899999998</v>
      </c>
      <c r="P7" s="267">
        <f>610.758+O7</f>
        <v>39066.9859</v>
      </c>
      <c r="Q7" s="267">
        <f>159.236+P7</f>
        <v>39226.221899999997</v>
      </c>
      <c r="R7" s="267"/>
    </row>
    <row r="8" spans="1:18" ht="15.75" thickBot="1" x14ac:dyDescent="0.3">
      <c r="B8" s="268" t="s">
        <v>110</v>
      </c>
      <c r="C8" s="269">
        <f t="shared" ref="C8:L8" si="0">SUM(C4:C7)</f>
        <v>54523.697</v>
      </c>
      <c r="D8" s="269">
        <f t="shared" si="0"/>
        <v>70517.107199999999</v>
      </c>
      <c r="E8" s="269">
        <f t="shared" si="0"/>
        <v>84870.543000000005</v>
      </c>
      <c r="F8" s="269">
        <f t="shared" si="0"/>
        <v>101796.573</v>
      </c>
      <c r="G8" s="269">
        <f t="shared" si="0"/>
        <v>125076.0784</v>
      </c>
      <c r="H8" s="269">
        <f t="shared" si="0"/>
        <v>137078.78240000003</v>
      </c>
      <c r="I8" s="269">
        <f t="shared" si="0"/>
        <v>156060.1453</v>
      </c>
      <c r="J8" s="269">
        <f t="shared" si="0"/>
        <v>170377.00930000003</v>
      </c>
      <c r="K8" s="269">
        <f t="shared" si="0"/>
        <v>190089.18599999999</v>
      </c>
      <c r="L8" s="270">
        <f t="shared" si="0"/>
        <v>207586.36824000001</v>
      </c>
      <c r="M8" s="270">
        <f>SUM(M4:M7)</f>
        <v>222162.75704</v>
      </c>
      <c r="N8" s="270">
        <f t="shared" ref="N8:Q8" si="1">SUM(N4:N7)</f>
        <v>236643.25724000001</v>
      </c>
      <c r="O8" s="270">
        <f t="shared" si="1"/>
        <v>251446.75892000005</v>
      </c>
      <c r="P8" s="270">
        <f t="shared" si="1"/>
        <v>259559.09992000001</v>
      </c>
      <c r="Q8" s="270">
        <f t="shared" si="1"/>
        <v>261835.91892</v>
      </c>
      <c r="R8" s="270"/>
    </row>
    <row r="9" spans="1:18" x14ac:dyDescent="0.25">
      <c r="B9" s="271" t="s">
        <v>162</v>
      </c>
      <c r="C9" s="261"/>
      <c r="D9" s="261">
        <f>+D8-C8</f>
        <v>15993.410199999998</v>
      </c>
      <c r="E9" s="261">
        <f>+E8-D8</f>
        <v>14353.435800000007</v>
      </c>
      <c r="F9" s="261">
        <f>+F8-E8</f>
        <v>16926.03</v>
      </c>
      <c r="G9" s="261">
        <f t="shared" ref="G9:J9" si="2">+G8-F8</f>
        <v>23279.505399999995</v>
      </c>
      <c r="H9" s="261">
        <f t="shared" si="2"/>
        <v>12002.704000000027</v>
      </c>
      <c r="I9" s="261">
        <f t="shared" si="2"/>
        <v>18981.362899999978</v>
      </c>
      <c r="J9" s="261">
        <f t="shared" si="2"/>
        <v>14316.864000000031</v>
      </c>
      <c r="K9" s="261">
        <f>+K8-J8</f>
        <v>19712.176699999953</v>
      </c>
      <c r="L9" s="261">
        <f>+L8-K8</f>
        <v>17497.182240000024</v>
      </c>
      <c r="M9" s="261">
        <f>+M8-L8</f>
        <v>14576.388799999986</v>
      </c>
      <c r="N9" s="261">
        <f t="shared" ref="N9" si="3">+N8-M8</f>
        <v>14480.500200000009</v>
      </c>
      <c r="O9" s="261">
        <f>+O8-N8</f>
        <v>14803.501680000045</v>
      </c>
      <c r="P9" s="261">
        <f>+P8-O8</f>
        <v>8112.3409999999567</v>
      </c>
      <c r="Q9" s="261">
        <f>+Q8-P8</f>
        <v>2276.8189999999886</v>
      </c>
      <c r="R9" s="261"/>
    </row>
    <row r="10" spans="1:18" x14ac:dyDescent="0.25">
      <c r="B10" s="272" t="s">
        <v>163</v>
      </c>
      <c r="C10" s="259"/>
      <c r="D10" s="259">
        <f>+D4-C4</f>
        <v>5947.5908000000018</v>
      </c>
      <c r="E10" s="259">
        <f t="shared" ref="E10:M11" si="4">+E4-D4</f>
        <v>5806.2721999999994</v>
      </c>
      <c r="F10" s="259">
        <f t="shared" si="4"/>
        <v>4428.1592000000019</v>
      </c>
      <c r="G10" s="259">
        <f t="shared" si="4"/>
        <v>6463.2186000000002</v>
      </c>
      <c r="H10" s="259">
        <f t="shared" si="4"/>
        <v>4210.0570000000007</v>
      </c>
      <c r="I10" s="259">
        <f t="shared" si="4"/>
        <v>4931.57</v>
      </c>
      <c r="J10" s="259">
        <f t="shared" si="4"/>
        <v>5253.4800000000032</v>
      </c>
      <c r="K10" s="259">
        <f t="shared" si="4"/>
        <v>4517.7609999999986</v>
      </c>
      <c r="L10" s="259">
        <f t="shared" si="4"/>
        <v>2931.6815999999963</v>
      </c>
      <c r="M10" s="259">
        <f t="shared" si="4"/>
        <v>3601.945000000007</v>
      </c>
      <c r="N10" s="259">
        <f t="shared" ref="N10:Q11" si="5">+N4-M4</f>
        <v>2192.5019999999931</v>
      </c>
      <c r="O10" s="259">
        <f t="shared" si="5"/>
        <v>1679.4119999999966</v>
      </c>
      <c r="P10" s="259">
        <f t="shared" si="5"/>
        <v>948.99599999999919</v>
      </c>
      <c r="Q10" s="259">
        <f t="shared" si="5"/>
        <v>472.33199999999488</v>
      </c>
      <c r="R10" s="259"/>
    </row>
    <row r="11" spans="1:18" ht="15.75" thickBot="1" x14ac:dyDescent="0.3">
      <c r="B11" s="273" t="s">
        <v>164</v>
      </c>
      <c r="C11" s="274"/>
      <c r="D11" s="274">
        <f>+D5-C5</f>
        <v>4268.1029999999992</v>
      </c>
      <c r="E11" s="274">
        <f t="shared" si="4"/>
        <v>5785.9920000000002</v>
      </c>
      <c r="F11" s="274">
        <f t="shared" si="4"/>
        <v>8392.4860000000099</v>
      </c>
      <c r="G11" s="274">
        <f t="shared" si="4"/>
        <v>12017.230000000003</v>
      </c>
      <c r="H11" s="274">
        <f t="shared" si="4"/>
        <v>4390.2690000000002</v>
      </c>
      <c r="I11" s="274">
        <f t="shared" si="4"/>
        <v>10751.688999999998</v>
      </c>
      <c r="J11" s="274">
        <f t="shared" si="4"/>
        <v>6904.9449999999997</v>
      </c>
      <c r="K11" s="274">
        <f t="shared" si="4"/>
        <v>11443.419000000002</v>
      </c>
      <c r="L11" s="274">
        <f t="shared" si="4"/>
        <v>10719.757840000006</v>
      </c>
      <c r="M11" s="274">
        <f t="shared" si="4"/>
        <v>7588.2149999999965</v>
      </c>
      <c r="N11" s="274">
        <f t="shared" si="5"/>
        <v>8265.375</v>
      </c>
      <c r="O11" s="274">
        <f t="shared" si="5"/>
        <v>8980.0296800000069</v>
      </c>
      <c r="P11" s="274">
        <f t="shared" si="5"/>
        <v>4231.804999999993</v>
      </c>
      <c r="Q11" s="274">
        <f t="shared" si="5"/>
        <v>740.64299999999639</v>
      </c>
      <c r="R11" s="27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0"/>
  <sheetViews>
    <sheetView showGridLines="0" zoomScale="85" zoomScaleNormal="85" workbookViewId="0">
      <selection activeCell="K21" sqref="K21"/>
    </sheetView>
  </sheetViews>
  <sheetFormatPr baseColWidth="10" defaultRowHeight="15" x14ac:dyDescent="0.25"/>
  <cols>
    <col min="2" max="2" width="20.42578125" customWidth="1"/>
    <col min="3" max="3" width="6.85546875" customWidth="1"/>
    <col min="4" max="4" width="9.7109375" customWidth="1"/>
    <col min="5" max="5" width="11.85546875" customWidth="1"/>
    <col min="6" max="6" width="9.5703125" customWidth="1"/>
    <col min="7" max="7" width="9.7109375" customWidth="1"/>
    <col min="8" max="8" width="18.28515625" customWidth="1"/>
    <col min="9" max="9" width="17.140625" customWidth="1"/>
    <col min="11" max="11" width="16" customWidth="1"/>
    <col min="12" max="12" width="14.85546875" customWidth="1"/>
  </cols>
  <sheetData>
    <row r="4" spans="2:13" ht="18.75" x14ac:dyDescent="0.3">
      <c r="B4" s="372" t="s">
        <v>191</v>
      </c>
      <c r="C4" s="372"/>
      <c r="D4" s="372"/>
      <c r="E4" s="372"/>
      <c r="F4" s="372"/>
      <c r="G4" s="372"/>
      <c r="H4" s="372"/>
      <c r="I4" s="372"/>
      <c r="J4" s="372"/>
      <c r="K4" s="372"/>
      <c r="L4" s="161"/>
      <c r="M4" s="161"/>
    </row>
    <row r="5" spans="2:13" x14ac:dyDescent="0.25">
      <c r="B5" s="126"/>
      <c r="C5" s="126"/>
      <c r="D5" s="126"/>
      <c r="E5" s="126"/>
      <c r="F5" s="126"/>
      <c r="G5" s="126"/>
      <c r="H5" s="126"/>
      <c r="I5" s="126"/>
      <c r="J5" s="126"/>
      <c r="K5" s="126"/>
      <c r="L5" s="126"/>
      <c r="M5" s="126"/>
    </row>
    <row r="6" spans="2:13" ht="15" customHeight="1" x14ac:dyDescent="0.25">
      <c r="C6" s="381" t="s">
        <v>67</v>
      </c>
      <c r="D6" s="382"/>
      <c r="E6" s="377" t="s">
        <v>52</v>
      </c>
      <c r="F6" s="379" t="s">
        <v>53</v>
      </c>
      <c r="G6" s="380"/>
      <c r="H6" s="377" t="s">
        <v>54</v>
      </c>
      <c r="I6" s="127" t="s">
        <v>55</v>
      </c>
      <c r="J6" s="377" t="s">
        <v>56</v>
      </c>
      <c r="K6" s="193" t="s">
        <v>57</v>
      </c>
    </row>
    <row r="7" spans="2:13" x14ac:dyDescent="0.25">
      <c r="B7" s="128" t="s">
        <v>58</v>
      </c>
      <c r="C7" s="129" t="s">
        <v>59</v>
      </c>
      <c r="D7" s="129" t="s">
        <v>60</v>
      </c>
      <c r="E7" s="378"/>
      <c r="F7" s="129" t="s">
        <v>59</v>
      </c>
      <c r="G7" s="129" t="s">
        <v>60</v>
      </c>
      <c r="H7" s="378"/>
      <c r="I7" s="129" t="s">
        <v>60</v>
      </c>
      <c r="J7" s="378"/>
      <c r="K7" s="194"/>
    </row>
    <row r="8" spans="2:13" x14ac:dyDescent="0.25">
      <c r="B8" s="130" t="s">
        <v>61</v>
      </c>
      <c r="C8" s="315"/>
      <c r="D8" s="315"/>
      <c r="E8" s="132">
        <f>SUM(C8:D8)</f>
        <v>0</v>
      </c>
      <c r="F8" s="131"/>
      <c r="G8" s="131"/>
      <c r="H8" s="136">
        <f>SUM(F8:G8)</f>
        <v>0</v>
      </c>
      <c r="I8" s="131">
        <v>5</v>
      </c>
      <c r="J8" s="132">
        <f>I8</f>
        <v>5</v>
      </c>
      <c r="K8" s="133">
        <f>E8+H8+J8</f>
        <v>5</v>
      </c>
    </row>
    <row r="9" spans="2:13" x14ac:dyDescent="0.25">
      <c r="B9" s="249" t="s">
        <v>157</v>
      </c>
      <c r="C9" s="316"/>
      <c r="D9" s="316">
        <v>1</v>
      </c>
      <c r="E9" s="132"/>
      <c r="F9" s="250"/>
      <c r="G9" s="250"/>
      <c r="H9" s="136"/>
      <c r="I9" s="250"/>
      <c r="J9" s="132"/>
      <c r="K9" s="251"/>
    </row>
    <row r="10" spans="2:13" x14ac:dyDescent="0.25">
      <c r="B10" s="134" t="s">
        <v>62</v>
      </c>
      <c r="C10" s="206">
        <v>37</v>
      </c>
      <c r="D10" s="206">
        <v>17</v>
      </c>
      <c r="E10" s="132">
        <f>SUM(C10:D10)</f>
        <v>54</v>
      </c>
      <c r="F10" s="206">
        <v>13</v>
      </c>
      <c r="G10" s="206">
        <v>2</v>
      </c>
      <c r="H10" s="136">
        <f>SUM(F10:G10)</f>
        <v>15</v>
      </c>
      <c r="I10" s="135"/>
      <c r="J10" s="132">
        <f>I10</f>
        <v>0</v>
      </c>
      <c r="K10" s="137">
        <f>H10+E10+J10</f>
        <v>69</v>
      </c>
    </row>
    <row r="11" spans="2:13" x14ac:dyDescent="0.25">
      <c r="B11" s="203" t="s">
        <v>89</v>
      </c>
      <c r="C11" s="207"/>
      <c r="D11" s="207">
        <v>1</v>
      </c>
      <c r="E11" s="132">
        <f>SUM(C11:D11)</f>
        <v>1</v>
      </c>
      <c r="F11" s="204"/>
      <c r="G11" s="204"/>
      <c r="H11" s="136">
        <f>SUM(F11:G11)</f>
        <v>0</v>
      </c>
      <c r="I11" s="204"/>
      <c r="J11" s="132">
        <f>I11</f>
        <v>0</v>
      </c>
      <c r="K11" s="205">
        <f>E11+H11+J11</f>
        <v>1</v>
      </c>
    </row>
    <row r="12" spans="2:13" x14ac:dyDescent="0.25">
      <c r="B12" s="138" t="s">
        <v>21</v>
      </c>
      <c r="C12" s="202">
        <v>18</v>
      </c>
      <c r="D12" s="202">
        <v>22</v>
      </c>
      <c r="E12" s="132">
        <f>SUM(C12:D12)</f>
        <v>40</v>
      </c>
      <c r="F12" s="139"/>
      <c r="G12" s="139"/>
      <c r="H12" s="136">
        <f>SUM(F12:G12)</f>
        <v>0</v>
      </c>
      <c r="I12" s="139"/>
      <c r="J12" s="132">
        <f>I12</f>
        <v>0</v>
      </c>
      <c r="K12" s="140">
        <f>E12+H12+J12</f>
        <v>40</v>
      </c>
    </row>
    <row r="13" spans="2:13" x14ac:dyDescent="0.25">
      <c r="B13" s="141" t="s">
        <v>57</v>
      </c>
      <c r="C13" s="142">
        <f t="shared" ref="C13:K13" si="0">SUM(C8:C12)</f>
        <v>55</v>
      </c>
      <c r="D13" s="142">
        <f t="shared" si="0"/>
        <v>41</v>
      </c>
      <c r="E13" s="142">
        <f t="shared" si="0"/>
        <v>95</v>
      </c>
      <c r="F13" s="142">
        <f t="shared" si="0"/>
        <v>13</v>
      </c>
      <c r="G13" s="142">
        <f t="shared" si="0"/>
        <v>2</v>
      </c>
      <c r="H13" s="142">
        <f t="shared" si="0"/>
        <v>15</v>
      </c>
      <c r="I13" s="142">
        <f t="shared" si="0"/>
        <v>5</v>
      </c>
      <c r="J13" s="142">
        <f t="shared" si="0"/>
        <v>5</v>
      </c>
      <c r="K13" s="142">
        <f t="shared" si="0"/>
        <v>115</v>
      </c>
    </row>
    <row r="14" spans="2:13" s="147" customFormat="1" ht="15.75" x14ac:dyDescent="0.25">
      <c r="B14" s="146"/>
      <c r="C14" s="146"/>
      <c r="D14" s="146"/>
    </row>
    <row r="15" spans="2:13" ht="15.75" thickBot="1" x14ac:dyDescent="0.3"/>
    <row r="16" spans="2:13" ht="15.75" thickBot="1" x14ac:dyDescent="0.3">
      <c r="B16" s="373" t="s">
        <v>190</v>
      </c>
      <c r="C16" s="374"/>
      <c r="D16" s="375"/>
      <c r="E16" s="375"/>
      <c r="F16" s="376"/>
    </row>
    <row r="17" spans="1:11" ht="15.75" thickBot="1" x14ac:dyDescent="0.3">
      <c r="B17" s="211" t="s">
        <v>63</v>
      </c>
      <c r="C17" s="216" t="s">
        <v>92</v>
      </c>
    </row>
    <row r="18" spans="1:11" ht="6.75" customHeight="1" thickBot="1" x14ac:dyDescent="0.3"/>
    <row r="19" spans="1:11" x14ac:dyDescent="0.25">
      <c r="B19" s="212" t="s">
        <v>64</v>
      </c>
      <c r="C19" s="213" t="s">
        <v>65</v>
      </c>
      <c r="D19" s="148"/>
      <c r="E19" s="148"/>
      <c r="F19" s="149"/>
      <c r="H19" s="158" t="s">
        <v>74</v>
      </c>
      <c r="I19" s="158" t="s">
        <v>75</v>
      </c>
      <c r="J19" s="158" t="s">
        <v>2</v>
      </c>
    </row>
    <row r="20" spans="1:11" ht="22.5" x14ac:dyDescent="0.25">
      <c r="B20" s="214" t="s">
        <v>66</v>
      </c>
      <c r="C20" s="150" t="s">
        <v>59</v>
      </c>
      <c r="D20" s="150" t="s">
        <v>91</v>
      </c>
      <c r="E20" s="150" t="s">
        <v>60</v>
      </c>
      <c r="F20" s="151" t="s">
        <v>57</v>
      </c>
      <c r="H20" s="159" t="s">
        <v>156</v>
      </c>
      <c r="I20" s="159" t="s">
        <v>76</v>
      </c>
      <c r="J20" s="159"/>
    </row>
    <row r="21" spans="1:11" x14ac:dyDescent="0.25">
      <c r="B21" s="152" t="s">
        <v>67</v>
      </c>
      <c r="C21" s="153">
        <v>46</v>
      </c>
      <c r="D21" s="153"/>
      <c r="E21" s="153">
        <v>35</v>
      </c>
      <c r="F21" s="154">
        <v>81</v>
      </c>
      <c r="H21" s="159">
        <v>2021</v>
      </c>
      <c r="I21" s="160">
        <f>'Expo Arg Citricos a sem 36'!$G$19</f>
        <v>364679.55523199629</v>
      </c>
      <c r="J21" s="160">
        <f>'Expo Arg Citricos a sem 36'!$C$19</f>
        <v>261835.94084199634</v>
      </c>
      <c r="K21" s="190">
        <f>J21/J22-1</f>
        <v>5.8837529457246074E-2</v>
      </c>
    </row>
    <row r="22" spans="1:11" x14ac:dyDescent="0.25">
      <c r="B22" s="192" t="s">
        <v>86</v>
      </c>
      <c r="C22" s="153">
        <v>13</v>
      </c>
      <c r="D22" s="153">
        <v>2</v>
      </c>
      <c r="E22" s="191">
        <v>85</v>
      </c>
      <c r="F22" s="154">
        <v>100</v>
      </c>
      <c r="H22" s="159">
        <v>2020</v>
      </c>
      <c r="I22" s="160">
        <v>338779.22</v>
      </c>
      <c r="J22" s="160">
        <v>247286.23</v>
      </c>
      <c r="K22" s="190">
        <f>I21/I22-1</f>
        <v>7.6451959574133088E-2</v>
      </c>
    </row>
    <row r="23" spans="1:11" x14ac:dyDescent="0.25">
      <c r="B23" s="152" t="s">
        <v>55</v>
      </c>
      <c r="C23" s="153"/>
      <c r="D23" s="153"/>
      <c r="E23" s="153">
        <v>1</v>
      </c>
      <c r="F23" s="154">
        <v>1</v>
      </c>
    </row>
    <row r="24" spans="1:11" ht="15.75" thickBot="1" x14ac:dyDescent="0.3">
      <c r="B24" s="155" t="s">
        <v>57</v>
      </c>
      <c r="C24" s="156">
        <v>59</v>
      </c>
      <c r="D24" s="156">
        <v>2</v>
      </c>
      <c r="E24" s="156">
        <v>121</v>
      </c>
      <c r="F24" s="157">
        <v>182</v>
      </c>
    </row>
    <row r="25" spans="1:11" ht="15" customHeight="1" x14ac:dyDescent="0.25">
      <c r="B25" s="143"/>
      <c r="C25" s="143"/>
      <c r="D25" s="143"/>
      <c r="E25" s="144"/>
      <c r="F25" s="144"/>
    </row>
    <row r="26" spans="1:11" x14ac:dyDescent="0.25">
      <c r="A26" t="s">
        <v>69</v>
      </c>
    </row>
    <row r="27" spans="1:11" x14ac:dyDescent="0.25">
      <c r="A27" t="s">
        <v>70</v>
      </c>
    </row>
    <row r="28" spans="1:11" x14ac:dyDescent="0.25">
      <c r="A28" t="s">
        <v>71</v>
      </c>
    </row>
    <row r="29" spans="1:11" x14ac:dyDescent="0.25">
      <c r="A29" t="s">
        <v>72</v>
      </c>
    </row>
    <row r="30" spans="1:11" x14ac:dyDescent="0.25">
      <c r="A30" t="s">
        <v>73</v>
      </c>
    </row>
  </sheetData>
  <mergeCells count="7">
    <mergeCell ref="B4:K4"/>
    <mergeCell ref="B16:F16"/>
    <mergeCell ref="E6:E7"/>
    <mergeCell ref="J6:J7"/>
    <mergeCell ref="F6:G6"/>
    <mergeCell ref="H6:H7"/>
    <mergeCell ref="C6:D6"/>
  </mergeCells>
  <pageMargins left="0.7" right="0.7" top="0.75" bottom="0.75" header="0.3" footer="0.3"/>
  <pageSetup paperSize="9"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39"/>
  <sheetViews>
    <sheetView showGridLines="0" zoomScale="85" zoomScaleNormal="85" workbookViewId="0">
      <selection activeCell="J18" sqref="J18"/>
    </sheetView>
  </sheetViews>
  <sheetFormatPr baseColWidth="10" defaultRowHeight="15" x14ac:dyDescent="0.25"/>
  <cols>
    <col min="2" max="2" width="17.5703125" bestFit="1" customWidth="1"/>
    <col min="3" max="5" width="13.7109375" customWidth="1"/>
    <col min="6" max="6" width="17.5703125" bestFit="1" customWidth="1"/>
    <col min="7" max="8" width="13.7109375" customWidth="1"/>
    <col min="9" max="9" width="12.7109375" customWidth="1"/>
    <col min="10" max="10" width="17.85546875" customWidth="1"/>
    <col min="11" max="11" width="11.42578125" customWidth="1"/>
    <col min="12" max="12" width="11.85546875" bestFit="1" customWidth="1"/>
    <col min="13" max="13" width="12.140625" bestFit="1" customWidth="1"/>
    <col min="14" max="14" width="15.42578125" bestFit="1" customWidth="1"/>
    <col min="15" max="15" width="13.5703125" bestFit="1" customWidth="1"/>
    <col min="16" max="16" width="14.140625" bestFit="1" customWidth="1"/>
    <col min="17" max="17" width="12.85546875" bestFit="1" customWidth="1"/>
    <col min="18" max="18" width="15.85546875" bestFit="1" customWidth="1"/>
    <col min="19" max="19" width="12.5703125" bestFit="1" customWidth="1"/>
  </cols>
  <sheetData>
    <row r="8" spans="2:15" ht="18.75" x14ac:dyDescent="0.3">
      <c r="B8" s="397" t="s">
        <v>188</v>
      </c>
      <c r="C8" s="397"/>
      <c r="D8" s="397"/>
      <c r="E8" s="397"/>
      <c r="F8" s="397"/>
      <c r="G8" s="397"/>
      <c r="H8" s="397"/>
      <c r="I8" s="208"/>
      <c r="J8" s="208"/>
    </row>
    <row r="9" spans="2:15" ht="9.75" customHeight="1" x14ac:dyDescent="0.3">
      <c r="K9" s="161"/>
    </row>
    <row r="10" spans="2:15" ht="15" customHeight="1" x14ac:dyDescent="0.25">
      <c r="B10" s="13"/>
      <c r="C10" s="395" t="s">
        <v>51</v>
      </c>
      <c r="D10" s="396"/>
      <c r="E10" s="393" t="s">
        <v>77</v>
      </c>
      <c r="F10" s="195" t="s">
        <v>53</v>
      </c>
      <c r="G10" s="393" t="s">
        <v>54</v>
      </c>
      <c r="H10" s="394" t="s">
        <v>57</v>
      </c>
      <c r="J10" s="158" t="s">
        <v>74</v>
      </c>
      <c r="K10" s="158" t="s">
        <v>75</v>
      </c>
      <c r="L10" s="158" t="s">
        <v>2</v>
      </c>
    </row>
    <row r="11" spans="2:15" ht="15.75" x14ac:dyDescent="0.25">
      <c r="B11" s="162" t="s">
        <v>58</v>
      </c>
      <c r="C11" s="163" t="s">
        <v>59</v>
      </c>
      <c r="D11" s="163" t="s">
        <v>60</v>
      </c>
      <c r="E11" s="393"/>
      <c r="F11" s="163" t="s">
        <v>59</v>
      </c>
      <c r="G11" s="393"/>
      <c r="H11" s="394"/>
      <c r="J11" s="159" t="s">
        <v>156</v>
      </c>
      <c r="K11" s="159" t="s">
        <v>76</v>
      </c>
      <c r="L11" s="159"/>
      <c r="M11" s="144"/>
      <c r="N11" s="144"/>
      <c r="O11" s="145"/>
    </row>
    <row r="12" spans="2:15" ht="15.75" x14ac:dyDescent="0.25">
      <c r="B12" s="164" t="s">
        <v>78</v>
      </c>
      <c r="C12" s="310">
        <v>2</v>
      </c>
      <c r="D12" s="310"/>
      <c r="E12" s="166">
        <f>SUM(C12:D12)</f>
        <v>2</v>
      </c>
      <c r="F12" s="165"/>
      <c r="G12" s="166">
        <f>SUM(F12)</f>
        <v>0</v>
      </c>
      <c r="H12" s="167">
        <f>SUM(G12,E12)</f>
        <v>2</v>
      </c>
      <c r="J12" s="159">
        <v>2021</v>
      </c>
      <c r="K12" s="160">
        <f>'Expo Arg Citricos a sem 36'!$G$19</f>
        <v>364679.55523199629</v>
      </c>
      <c r="L12" s="160">
        <f>'Expo Arg Citricos a sem 36'!$C$19</f>
        <v>261835.94084199634</v>
      </c>
    </row>
    <row r="13" spans="2:15" ht="15.75" x14ac:dyDescent="0.25">
      <c r="B13" s="168" t="s">
        <v>79</v>
      </c>
      <c r="C13" s="311">
        <v>4</v>
      </c>
      <c r="D13" s="311"/>
      <c r="E13" s="166">
        <f>SUM(C13:D13)</f>
        <v>4</v>
      </c>
      <c r="F13" s="169"/>
      <c r="G13" s="166">
        <f>SUM(F13)</f>
        <v>0</v>
      </c>
      <c r="H13" s="167">
        <f>SUM(G13,E13)</f>
        <v>4</v>
      </c>
      <c r="J13" s="159">
        <v>2020</v>
      </c>
      <c r="K13" s="160">
        <f>Empaque!I22</f>
        <v>338779.22</v>
      </c>
      <c r="L13" s="160">
        <f>Empaque!J22</f>
        <v>247286.23</v>
      </c>
    </row>
    <row r="14" spans="2:15" ht="15.75" x14ac:dyDescent="0.25">
      <c r="B14" s="168" t="s">
        <v>62</v>
      </c>
      <c r="C14" s="311">
        <v>4</v>
      </c>
      <c r="D14" s="311"/>
      <c r="E14" s="166">
        <f>SUM(C14:D14)</f>
        <v>4</v>
      </c>
      <c r="F14" s="311">
        <v>4</v>
      </c>
      <c r="G14" s="166">
        <f>SUM(F14)</f>
        <v>4</v>
      </c>
      <c r="H14" s="167">
        <f>SUM(G14,E14)</f>
        <v>8</v>
      </c>
      <c r="J14" s="386"/>
      <c r="K14" s="386"/>
      <c r="L14" s="386"/>
    </row>
    <row r="15" spans="2:15" ht="15.75" x14ac:dyDescent="0.25">
      <c r="B15" s="170" t="s">
        <v>21</v>
      </c>
      <c r="C15" s="312">
        <v>16</v>
      </c>
      <c r="D15" s="312">
        <v>12</v>
      </c>
      <c r="E15" s="166">
        <f>SUM(C15:D15)</f>
        <v>28</v>
      </c>
      <c r="F15" s="171"/>
      <c r="G15" s="166">
        <f>SUM(F15)</f>
        <v>0</v>
      </c>
      <c r="H15" s="167">
        <f>SUM(G15,E15)</f>
        <v>28</v>
      </c>
    </row>
    <row r="16" spans="2:15" ht="15.75" x14ac:dyDescent="0.25">
      <c r="B16" s="172" t="s">
        <v>57</v>
      </c>
      <c r="C16" s="173">
        <f t="shared" ref="C16:H16" si="0">SUM(C12:C15)</f>
        <v>26</v>
      </c>
      <c r="D16" s="173">
        <f t="shared" si="0"/>
        <v>12</v>
      </c>
      <c r="E16" s="173">
        <f t="shared" si="0"/>
        <v>38</v>
      </c>
      <c r="F16" s="173">
        <f t="shared" si="0"/>
        <v>4</v>
      </c>
      <c r="G16" s="173">
        <f t="shared" si="0"/>
        <v>4</v>
      </c>
      <c r="H16" s="173">
        <f t="shared" si="0"/>
        <v>42</v>
      </c>
    </row>
    <row r="17" spans="1:9" ht="15.75" x14ac:dyDescent="0.25">
      <c r="B17" s="248" t="s">
        <v>155</v>
      </c>
    </row>
    <row r="18" spans="1:9" s="147" customFormat="1" x14ac:dyDescent="0.25">
      <c r="B18" s="174"/>
      <c r="C18" s="175"/>
    </row>
    <row r="20" spans="1:9" ht="18.75" x14ac:dyDescent="0.3">
      <c r="A20" s="176"/>
      <c r="B20" s="385" t="s">
        <v>189</v>
      </c>
      <c r="C20" s="385"/>
      <c r="D20" s="385"/>
      <c r="E20" s="385"/>
      <c r="F20" s="385"/>
      <c r="G20" s="385"/>
      <c r="H20" s="385"/>
      <c r="I20" s="385"/>
    </row>
    <row r="21" spans="1:9" x14ac:dyDescent="0.25">
      <c r="A21" s="176"/>
      <c r="B21" s="176"/>
      <c r="C21" s="176"/>
      <c r="D21" s="176"/>
      <c r="E21" s="176"/>
      <c r="F21" s="176"/>
      <c r="G21" s="176"/>
    </row>
    <row r="22" spans="1:9" ht="15" customHeight="1" x14ac:dyDescent="0.25">
      <c r="A22" s="176"/>
      <c r="B22" s="177"/>
      <c r="C22" s="383" t="s">
        <v>51</v>
      </c>
      <c r="D22" s="384"/>
      <c r="E22" s="387" t="s">
        <v>77</v>
      </c>
      <c r="F22" s="391" t="s">
        <v>68</v>
      </c>
      <c r="G22" s="392"/>
      <c r="H22" s="387" t="s">
        <v>54</v>
      </c>
      <c r="I22" s="389" t="s">
        <v>57</v>
      </c>
    </row>
    <row r="23" spans="1:9" ht="15.75" customHeight="1" x14ac:dyDescent="0.25">
      <c r="A23" s="176"/>
      <c r="B23" s="178" t="s">
        <v>80</v>
      </c>
      <c r="C23" s="179" t="s">
        <v>59</v>
      </c>
      <c r="D23" s="179" t="s">
        <v>60</v>
      </c>
      <c r="E23" s="388"/>
      <c r="F23" s="179" t="s">
        <v>59</v>
      </c>
      <c r="G23" s="179" t="s">
        <v>60</v>
      </c>
      <c r="H23" s="388"/>
      <c r="I23" s="390"/>
    </row>
    <row r="24" spans="1:9" ht="15.75" x14ac:dyDescent="0.25">
      <c r="B24" s="180" t="s">
        <v>81</v>
      </c>
      <c r="C24" s="181">
        <v>1</v>
      </c>
      <c r="D24" s="181">
        <v>2</v>
      </c>
      <c r="E24" s="182">
        <v>3</v>
      </c>
      <c r="F24" s="181"/>
      <c r="G24" s="183"/>
      <c r="H24" s="182"/>
      <c r="I24" s="184">
        <v>3</v>
      </c>
    </row>
    <row r="25" spans="1:9" ht="15.75" x14ac:dyDescent="0.25">
      <c r="B25" s="185" t="s">
        <v>93</v>
      </c>
      <c r="C25" s="186"/>
      <c r="D25" s="186">
        <v>1</v>
      </c>
      <c r="E25" s="182">
        <v>1</v>
      </c>
      <c r="F25" s="186"/>
      <c r="G25" s="187"/>
      <c r="H25" s="182"/>
      <c r="I25" s="184">
        <v>1</v>
      </c>
    </row>
    <row r="26" spans="1:9" ht="15.75" x14ac:dyDescent="0.25">
      <c r="B26" s="185" t="s">
        <v>90</v>
      </c>
      <c r="C26" s="186">
        <v>1</v>
      </c>
      <c r="D26" s="186"/>
      <c r="E26" s="182">
        <v>1</v>
      </c>
      <c r="F26" s="186"/>
      <c r="G26" s="187"/>
      <c r="H26" s="182"/>
      <c r="I26" s="184">
        <v>1</v>
      </c>
    </row>
    <row r="27" spans="1:9" ht="15.75" x14ac:dyDescent="0.25">
      <c r="B27" s="185" t="s">
        <v>62</v>
      </c>
      <c r="C27" s="186">
        <v>9</v>
      </c>
      <c r="D27" s="186">
        <v>4</v>
      </c>
      <c r="E27" s="182">
        <v>14</v>
      </c>
      <c r="F27" s="186">
        <v>1</v>
      </c>
      <c r="G27" s="187">
        <v>20</v>
      </c>
      <c r="H27" s="182">
        <v>22</v>
      </c>
      <c r="I27" s="184">
        <v>36</v>
      </c>
    </row>
    <row r="28" spans="1:9" ht="15.75" x14ac:dyDescent="0.25">
      <c r="B28" s="185" t="s">
        <v>82</v>
      </c>
      <c r="C28" s="186">
        <v>1</v>
      </c>
      <c r="D28" s="186"/>
      <c r="E28" s="182">
        <v>1</v>
      </c>
      <c r="F28" s="186"/>
      <c r="G28" s="187"/>
      <c r="H28" s="182"/>
      <c r="I28" s="184">
        <v>1</v>
      </c>
    </row>
    <row r="29" spans="1:9" ht="15.75" x14ac:dyDescent="0.25">
      <c r="B29" s="185" t="s">
        <v>21</v>
      </c>
      <c r="C29" s="209">
        <v>11</v>
      </c>
      <c r="D29" s="209">
        <v>8</v>
      </c>
      <c r="E29" s="182">
        <v>19</v>
      </c>
      <c r="F29" s="209"/>
      <c r="G29" s="210"/>
      <c r="H29" s="182"/>
      <c r="I29" s="184">
        <v>19</v>
      </c>
    </row>
    <row r="30" spans="1:9" ht="15.75" x14ac:dyDescent="0.25">
      <c r="B30" s="180" t="s">
        <v>83</v>
      </c>
      <c r="C30" s="181">
        <v>1</v>
      </c>
      <c r="D30" s="181">
        <v>1</v>
      </c>
      <c r="E30" s="182">
        <v>2</v>
      </c>
      <c r="F30" s="181"/>
      <c r="G30" s="183"/>
      <c r="H30" s="182"/>
      <c r="I30" s="184">
        <v>2</v>
      </c>
    </row>
    <row r="31" spans="1:9" ht="16.5" thickBot="1" x14ac:dyDescent="0.3">
      <c r="B31" s="185" t="s">
        <v>84</v>
      </c>
      <c r="C31" s="186"/>
      <c r="D31" s="186">
        <v>1</v>
      </c>
      <c r="E31" s="182">
        <v>1</v>
      </c>
      <c r="F31" s="186"/>
      <c r="G31" s="187"/>
      <c r="H31" s="182"/>
      <c r="I31" s="184">
        <v>1</v>
      </c>
    </row>
    <row r="32" spans="1:9" ht="16.5" thickBot="1" x14ac:dyDescent="0.3">
      <c r="B32" s="188" t="s">
        <v>57</v>
      </c>
      <c r="C32" s="189">
        <f t="shared" ref="C32:I32" si="1">SUM(C24:C31)</f>
        <v>24</v>
      </c>
      <c r="D32" s="189">
        <f t="shared" si="1"/>
        <v>17</v>
      </c>
      <c r="E32" s="189">
        <f t="shared" si="1"/>
        <v>42</v>
      </c>
      <c r="F32" s="189">
        <f t="shared" si="1"/>
        <v>1</v>
      </c>
      <c r="G32" s="189">
        <f t="shared" si="1"/>
        <v>20</v>
      </c>
      <c r="H32" s="189">
        <f t="shared" si="1"/>
        <v>22</v>
      </c>
      <c r="I32" s="189">
        <f t="shared" si="1"/>
        <v>64</v>
      </c>
    </row>
    <row r="35" spans="2:2" x14ac:dyDescent="0.25">
      <c r="B35" t="s">
        <v>69</v>
      </c>
    </row>
    <row r="36" spans="2:2" x14ac:dyDescent="0.25">
      <c r="B36" t="s">
        <v>85</v>
      </c>
    </row>
    <row r="37" spans="2:2" x14ac:dyDescent="0.25">
      <c r="B37" t="s">
        <v>71</v>
      </c>
    </row>
    <row r="38" spans="2:2" x14ac:dyDescent="0.25">
      <c r="B38" t="s">
        <v>72</v>
      </c>
    </row>
    <row r="39" spans="2:2" x14ac:dyDescent="0.25">
      <c r="B39" t="s">
        <v>73</v>
      </c>
    </row>
  </sheetData>
  <mergeCells count="12">
    <mergeCell ref="E10:E11"/>
    <mergeCell ref="G10:G11"/>
    <mergeCell ref="H10:H11"/>
    <mergeCell ref="C10:D10"/>
    <mergeCell ref="B8:H8"/>
    <mergeCell ref="C22:D22"/>
    <mergeCell ref="B20:I20"/>
    <mergeCell ref="J14:L14"/>
    <mergeCell ref="E22:E23"/>
    <mergeCell ref="H22:H23"/>
    <mergeCell ref="I22:I23"/>
    <mergeCell ref="F22:G2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
  <sheetViews>
    <sheetView showGridLines="0" zoomScale="85" zoomScaleNormal="85" workbookViewId="0">
      <selection activeCell="F21" sqref="F21"/>
    </sheetView>
  </sheetViews>
  <sheetFormatPr baseColWidth="10" defaultRowHeight="15" x14ac:dyDescent="0.25"/>
  <cols>
    <col min="1" max="1" width="7.85546875" customWidth="1"/>
    <col min="2" max="2" width="5.140625" customWidth="1"/>
    <col min="3" max="3" width="28.85546875" customWidth="1"/>
    <col min="4" max="4" width="25.42578125" customWidth="1"/>
    <col min="5" max="5" width="15.5703125" customWidth="1"/>
    <col min="6" max="6" width="22.42578125" customWidth="1"/>
    <col min="7" max="7" width="12.5703125" customWidth="1"/>
    <col min="8" max="8" width="9.140625" customWidth="1"/>
    <col min="9" max="9" width="14.28515625" customWidth="1"/>
    <col min="10" max="10" width="13.5703125" customWidth="1"/>
    <col min="12" max="12" width="13.7109375" customWidth="1"/>
    <col min="13" max="13" width="14.85546875" customWidth="1"/>
    <col min="14" max="15" width="13.7109375" customWidth="1"/>
  </cols>
  <sheetData>
    <row r="2" spans="2:15" ht="30.75" customHeight="1" x14ac:dyDescent="0.25">
      <c r="B2" s="221" t="s">
        <v>125</v>
      </c>
      <c r="C2" s="221" t="s">
        <v>137</v>
      </c>
      <c r="D2" s="221" t="s">
        <v>117</v>
      </c>
      <c r="E2" s="221" t="s">
        <v>126</v>
      </c>
      <c r="F2" s="221" t="s">
        <v>134</v>
      </c>
      <c r="G2" s="221" t="s">
        <v>133</v>
      </c>
      <c r="H2" s="221" t="s">
        <v>135</v>
      </c>
      <c r="I2" s="221" t="s">
        <v>136</v>
      </c>
      <c r="J2" s="221" t="s">
        <v>127</v>
      </c>
      <c r="K2" s="221" t="s">
        <v>128</v>
      </c>
      <c r="L2" s="221" t="s">
        <v>129</v>
      </c>
      <c r="M2" s="221" t="s">
        <v>130</v>
      </c>
      <c r="N2" s="221" t="s">
        <v>131</v>
      </c>
      <c r="O2" s="221" t="s">
        <v>132</v>
      </c>
    </row>
    <row r="3" spans="2:15" x14ac:dyDescent="0.25">
      <c r="B3" s="246">
        <v>1</v>
      </c>
      <c r="C3" s="246" t="s">
        <v>145</v>
      </c>
      <c r="D3" s="246" t="s">
        <v>118</v>
      </c>
      <c r="E3" s="246" t="s">
        <v>138</v>
      </c>
      <c r="F3" s="246" t="s">
        <v>143</v>
      </c>
      <c r="G3" s="246" t="s">
        <v>142</v>
      </c>
      <c r="H3" s="246" t="s">
        <v>144</v>
      </c>
      <c r="I3" s="246" t="s">
        <v>95</v>
      </c>
      <c r="J3" s="246" t="s">
        <v>139</v>
      </c>
      <c r="K3" s="246" t="s">
        <v>140</v>
      </c>
      <c r="L3" s="246" t="s">
        <v>141</v>
      </c>
      <c r="M3" s="247">
        <v>44357</v>
      </c>
      <c r="N3" s="247">
        <v>44400</v>
      </c>
      <c r="O3" s="247">
        <v>44406</v>
      </c>
    </row>
    <row r="4" spans="2:15" x14ac:dyDescent="0.25">
      <c r="B4" s="128">
        <v>2</v>
      </c>
      <c r="C4" s="159" t="s">
        <v>152</v>
      </c>
      <c r="D4" s="159" t="s">
        <v>146</v>
      </c>
      <c r="E4" s="159" t="s">
        <v>147</v>
      </c>
      <c r="F4" s="159" t="s">
        <v>150</v>
      </c>
      <c r="G4" s="159" t="s">
        <v>142</v>
      </c>
      <c r="H4" s="159" t="s">
        <v>151</v>
      </c>
      <c r="I4" s="159" t="s">
        <v>99</v>
      </c>
      <c r="J4" s="159" t="s">
        <v>148</v>
      </c>
      <c r="K4" s="159" t="s">
        <v>149</v>
      </c>
      <c r="L4" s="159" t="s">
        <v>16</v>
      </c>
      <c r="M4" s="252">
        <v>44344</v>
      </c>
      <c r="N4" s="252">
        <v>44404</v>
      </c>
      <c r="O4" s="252">
        <v>44406</v>
      </c>
    </row>
    <row r="5" spans="2:15" x14ac:dyDescent="0.25">
      <c r="B5" s="246">
        <v>12</v>
      </c>
      <c r="C5" s="246" t="s">
        <v>152</v>
      </c>
      <c r="D5" s="246" t="s">
        <v>153</v>
      </c>
      <c r="E5" s="246" t="s">
        <v>147</v>
      </c>
      <c r="F5" s="246" t="s">
        <v>154</v>
      </c>
      <c r="G5" s="246" t="s">
        <v>142</v>
      </c>
      <c r="H5" s="246" t="s">
        <v>151</v>
      </c>
      <c r="I5" s="246" t="s">
        <v>99</v>
      </c>
      <c r="J5" s="246" t="s">
        <v>139</v>
      </c>
      <c r="K5" s="246" t="s">
        <v>140</v>
      </c>
      <c r="L5" s="246" t="s">
        <v>141</v>
      </c>
      <c r="M5" s="247">
        <v>44363</v>
      </c>
      <c r="N5" s="247">
        <v>44412</v>
      </c>
      <c r="O5" s="247">
        <v>44427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Expo Arg Citricos a sem 36</vt:lpstr>
      <vt:lpstr>Expo Limon Mercados acum sem 36</vt:lpstr>
      <vt:lpstr>Tn en pallets despa</vt:lpstr>
      <vt:lpstr>Cargas RSA y ARG</vt:lpstr>
      <vt:lpstr>Comparativo expo RSA y ARG</vt:lpstr>
      <vt:lpstr>Comp semanas hasta 36</vt:lpstr>
      <vt:lpstr>Empaque</vt:lpstr>
      <vt:lpstr>Puerto</vt:lpstr>
      <vt:lpstr>Destino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Rovella</dc:creator>
  <cp:lastModifiedBy>Usuario de Windows</cp:lastModifiedBy>
  <dcterms:created xsi:type="dcterms:W3CDTF">2021-06-04T16:14:07Z</dcterms:created>
  <dcterms:modified xsi:type="dcterms:W3CDTF">2021-09-15T14:18:01Z</dcterms:modified>
</cp:coreProperties>
</file>